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 tabRatio="936"/>
  </bookViews>
  <sheets>
    <sheet name="Carátula" sheetId="45" r:id="rId1"/>
    <sheet name="anexo1" sheetId="1" r:id="rId2"/>
    <sheet name="Ingresos Totales 2" sheetId="2" r:id="rId3"/>
    <sheet name="Ingr Propios 3" sheetId="3" r:id="rId4"/>
    <sheet name="anexo 2" sheetId="4" r:id="rId5"/>
    <sheet name="anexo 3" sheetId="5" r:id="rId6"/>
    <sheet name="anexo 4" sheetId="6" r:id="rId7"/>
    <sheet name="anexo 5" sheetId="7" r:id="rId8"/>
    <sheet name="anexo 6" sheetId="8" r:id="rId9"/>
    <sheet name="anexo 7" sheetId="39" r:id="rId10"/>
    <sheet name="anexo 8 " sheetId="23" r:id="rId11"/>
    <sheet name="anexo9" sheetId="41" r:id="rId12"/>
    <sheet name="anexo 10" sheetId="40" r:id="rId13"/>
    <sheet name="anexo 11" sheetId="43" r:id="rId14"/>
    <sheet name="Anexo 12" sheetId="44" r:id="rId15"/>
    <sheet name="Anexo 13" sheetId="46" r:id="rId16"/>
    <sheet name="anexo 14" sheetId="47" r:id="rId17"/>
    <sheet name="Anexo 15" sheetId="48" r:id="rId18"/>
    <sheet name="anexo 16" sheetId="49" r:id="rId19"/>
    <sheet name="RESGTO" sheetId="12" r:id="rId20"/>
    <sheet name="P E Servicios Personales" sheetId="9" state="hidden" r:id="rId21"/>
    <sheet name="P E Mat y Sum " sheetId="10" state="hidden" r:id="rId22"/>
    <sheet name="P E Serv Grales" sheetId="11" state="hidden" r:id="rId23"/>
    <sheet name="GUBERNATURA" sheetId="13" r:id="rId24"/>
    <sheet name="S GOB." sheetId="14" r:id="rId25"/>
    <sheet name="S HDA." sheetId="15" r:id="rId26"/>
    <sheet name="S ECONOM." sheetId="16" r:id="rId27"/>
    <sheet name="S OB. PUB." sheetId="18" r:id="rId28"/>
    <sheet name="S DES.AGROP." sheetId="17" r:id="rId29"/>
    <sheet name="S EDUC." sheetId="19" r:id="rId30"/>
    <sheet name="PGJ" sheetId="21" r:id="rId31"/>
    <sheet name="S SALUD" sheetId="20" r:id="rId32"/>
    <sheet name="S ADMON." sheetId="22" r:id="rId33"/>
    <sheet name="S CONTRALORIA" sheetId="24" r:id="rId34"/>
    <sheet name="S SEG.PUB." sheetId="25" r:id="rId35"/>
    <sheet name="CONSEJ.JUR." sheetId="26" r:id="rId36"/>
    <sheet name="S TURISMO" sheetId="27" r:id="rId37"/>
    <sheet name="S DES.SOC." sheetId="28" r:id="rId38"/>
    <sheet name="S TRABAJO" sheetId="29" r:id="rId39"/>
    <sheet name="S CULT" sheetId="30" r:id="rId40"/>
    <sheet name="S DES. SUST." sheetId="31" r:id="rId41"/>
    <sheet name="S INF.COMUN." sheetId="32" r:id="rId42"/>
    <sheet name="S INNOV." sheetId="33" r:id="rId43"/>
    <sheet name="S MOV.TRANSP." sheetId="34" r:id="rId44"/>
    <sheet name="Hoja1" sheetId="42" state="hidden" r:id="rId45"/>
    <sheet name="INST.REG.PUB." sheetId="38" state="hidden" r:id="rId46"/>
    <sheet name="INVIMOR" sheetId="37" state="hidden" r:id="rId47"/>
    <sheet name="INST.INF.EDUC." sheetId="36" state="hidden" r:id="rId48"/>
    <sheet name="SEDAM CEAMA" sheetId="35" state="hidden" r:id="rId49"/>
  </sheets>
  <definedNames>
    <definedName name="_xlnm.Print_Area" localSheetId="12">'anexo 10'!$A$1:$I$25</definedName>
    <definedName name="_xlnm.Print_Area" localSheetId="13">'anexo 11'!$A$1:$D$26</definedName>
    <definedName name="_xlnm.Print_Area" localSheetId="17">'Anexo 15'!$A$1:$B$13</definedName>
    <definedName name="_xlnm.Print_Area" localSheetId="18">'anexo 16'!$A$1:$C$101</definedName>
    <definedName name="_xlnm.Print_Area" localSheetId="4">'anexo 2'!$A$1:$I$31</definedName>
    <definedName name="_xlnm.Print_Area" localSheetId="5">'anexo 3'!$A$1:$I$24</definedName>
    <definedName name="_xlnm.Print_Area" localSheetId="6">'anexo 4'!$A$1:$I$25</definedName>
    <definedName name="_xlnm.Print_Area" localSheetId="8">'anexo 6'!$A$1:$E$34</definedName>
    <definedName name="_xlnm.Print_Area" localSheetId="9">'anexo 7'!$A$1:$I$34</definedName>
    <definedName name="_xlnm.Print_Area" localSheetId="10">'anexo 8 '!$A$1:$E$120</definedName>
    <definedName name="_xlnm.Print_Area" localSheetId="1">anexo1!$A$1:$K$28</definedName>
    <definedName name="_xlnm.Print_Area" localSheetId="11">anexo9!$A$1:$I$33</definedName>
    <definedName name="_xlnm.Print_Area" localSheetId="0">Carátula!$A$1:$K$37</definedName>
    <definedName name="_xlnm.Print_Area" localSheetId="35">CONSEJ.JUR.!$A$1:$I$17</definedName>
    <definedName name="_xlnm.Print_Area" localSheetId="23">GUBERNATURA!$A$1:$I$21</definedName>
    <definedName name="_xlnm.Print_Area" localSheetId="2">'Ingresos Totales 2'!$A$1:$I$42</definedName>
    <definedName name="_xlnm.Print_Area" localSheetId="21">'P E Mat y Sum '!$A$1:$I$29</definedName>
    <definedName name="_xlnm.Print_Area" localSheetId="20">'P E Servicios Personales'!$A$1:$I$29</definedName>
    <definedName name="_xlnm.Print_Area" localSheetId="30">PGJ!$A$1:$I$18</definedName>
    <definedName name="_xlnm.Print_Area" localSheetId="19">RESGTO!$A$1:$E$31</definedName>
    <definedName name="_xlnm.Print_Area" localSheetId="32">'S ADMON.'!$A$1:$I$19</definedName>
    <definedName name="_xlnm.Print_Area" localSheetId="39">'S CULT'!$A$1:$I$20</definedName>
    <definedName name="_xlnm.Print_Area" localSheetId="40">'S DES. SUST.'!$A$1:$I$19</definedName>
    <definedName name="_xlnm.Print_Area" localSheetId="37">'S DES.SOC.'!$A$1:$I$22</definedName>
    <definedName name="_xlnm.Print_Area" localSheetId="26">'S ECONOM.'!$A$1:$I$21</definedName>
    <definedName name="_xlnm.Print_Area" localSheetId="41">'S INF.COMUN.'!$A$1:$I$17</definedName>
    <definedName name="_xlnm.Print_Area" localSheetId="42">'S INNOV.'!$A$1:$I$18</definedName>
    <definedName name="_xlnm.Print_Area" localSheetId="43">'S MOV.TRANSP.'!$A$1:$I$18</definedName>
    <definedName name="_xlnm.Print_Area" localSheetId="27">'S OB. PUB.'!$A$1:$I$21</definedName>
    <definedName name="_xlnm.Print_Area" localSheetId="31">'S SALUD'!$A$1:$I$27</definedName>
    <definedName name="_xlnm.Print_Area" localSheetId="38">'S TRABAJO'!$A$1:$I$19</definedName>
    <definedName name="_xlnm.Print_Area" localSheetId="36">'S TURISMO'!$A$1:$E$23</definedName>
    <definedName name="_xlnm.Print_Titles" localSheetId="14">'Anexo 12'!$1:$4</definedName>
    <definedName name="_xlnm.Print_Titles" localSheetId="15">'Anexo 13'!$1:$4</definedName>
    <definedName name="_xlnm.Print_Titles" localSheetId="10">'anexo 8 '!$1:$5</definedName>
  </definedNames>
  <calcPr calcId="152511"/>
</workbook>
</file>

<file path=xl/calcChain.xml><?xml version="1.0" encoding="utf-8"?>
<calcChain xmlns="http://schemas.openxmlformats.org/spreadsheetml/2006/main">
  <c r="A8" i="23" l="1"/>
  <c r="B14" i="47" l="1"/>
  <c r="B103" i="46"/>
  <c r="B228" i="46"/>
  <c r="B91" i="46"/>
  <c r="B71" i="46"/>
  <c r="B31" i="46"/>
  <c r="B13" i="46"/>
  <c r="B11" i="46"/>
  <c r="B37" i="44"/>
  <c r="B41" i="44"/>
  <c r="B76" i="44"/>
  <c r="B10" i="44"/>
  <c r="B11" i="44" l="1"/>
  <c r="B53" i="44"/>
  <c r="C102" i="49"/>
  <c r="G41" i="2"/>
  <c r="I10" i="45" s="1"/>
  <c r="H10" i="45" s="1"/>
  <c r="C92" i="23"/>
  <c r="B116" i="23"/>
  <c r="G22" i="19"/>
  <c r="G23" i="19"/>
  <c r="C66" i="23"/>
  <c r="C68" i="23"/>
  <c r="B68" i="23" s="1"/>
  <c r="G24" i="19"/>
  <c r="I26" i="19"/>
  <c r="G9" i="33"/>
  <c r="G6" i="33" s="1"/>
  <c r="G8" i="33"/>
  <c r="F10" i="33"/>
  <c r="C24" i="23"/>
  <c r="C23" i="23" s="1"/>
  <c r="B23" i="23" s="1"/>
  <c r="C46" i="23"/>
  <c r="B46" i="23" s="1"/>
  <c r="C47" i="23"/>
  <c r="B47" i="23" s="1"/>
  <c r="C48" i="23"/>
  <c r="B48" i="23" s="1"/>
  <c r="C49" i="23"/>
  <c r="B49" i="23" s="1"/>
  <c r="C45" i="23"/>
  <c r="B45" i="23" s="1"/>
  <c r="F25" i="20"/>
  <c r="F24" i="20"/>
  <c r="F23" i="20"/>
  <c r="F22" i="20"/>
  <c r="F21" i="20"/>
  <c r="B119" i="23"/>
  <c r="B118" i="23"/>
  <c r="B117" i="23"/>
  <c r="B115" i="23"/>
  <c r="B114" i="23"/>
  <c r="B113" i="23"/>
  <c r="F22" i="5"/>
  <c r="G6" i="21"/>
  <c r="F11" i="21"/>
  <c r="F17" i="21"/>
  <c r="B12" i="7"/>
  <c r="G23" i="14"/>
  <c r="G22" i="14"/>
  <c r="G13" i="28"/>
  <c r="F16" i="28"/>
  <c r="C10" i="8"/>
  <c r="B10" i="8" s="1"/>
  <c r="F10" i="14"/>
  <c r="G9" i="14"/>
  <c r="G8" i="14"/>
  <c r="G7" i="14"/>
  <c r="C9" i="8" s="1"/>
  <c r="F41" i="2" l="1"/>
  <c r="B24" i="23"/>
  <c r="C33" i="49" l="1"/>
  <c r="C74" i="49"/>
  <c r="C93" i="49"/>
  <c r="C89" i="49"/>
  <c r="C24" i="49"/>
  <c r="C23" i="49" s="1"/>
  <c r="C44" i="49"/>
  <c r="C36" i="49" s="1"/>
  <c r="C83" i="49"/>
  <c r="C86" i="49"/>
  <c r="C14" i="49"/>
  <c r="C81" i="49"/>
  <c r="C72" i="49"/>
  <c r="C17" i="49"/>
  <c r="C7" i="49"/>
  <c r="K30" i="45"/>
  <c r="J30" i="45"/>
  <c r="K22" i="1"/>
  <c r="J22" i="1"/>
  <c r="G17" i="40"/>
  <c r="I30" i="45" s="1"/>
  <c r="B7" i="48"/>
  <c r="B8" i="47"/>
  <c r="B7" i="47" s="1"/>
  <c r="B238" i="46"/>
  <c r="B227" i="46"/>
  <c r="B87" i="46"/>
  <c r="B60" i="46"/>
  <c r="B21" i="46"/>
  <c r="B7" i="46"/>
  <c r="B79" i="44"/>
  <c r="B77" i="44"/>
  <c r="B75" i="44" s="1"/>
  <c r="B67" i="44"/>
  <c r="B63" i="44"/>
  <c r="B36" i="44"/>
  <c r="B26" i="44"/>
  <c r="B16" i="44"/>
  <c r="B14" i="44"/>
  <c r="C35" i="23"/>
  <c r="C36" i="23"/>
  <c r="C32" i="23"/>
  <c r="A33" i="23"/>
  <c r="A34" i="23"/>
  <c r="A35" i="23"/>
  <c r="A36" i="23"/>
  <c r="A32" i="23"/>
  <c r="H27" i="39"/>
  <c r="I27" i="39"/>
  <c r="H30" i="45" l="1"/>
  <c r="I22" i="1"/>
  <c r="F17" i="40"/>
  <c r="C85" i="49"/>
  <c r="B32" i="23"/>
  <c r="C59" i="49"/>
  <c r="H22" i="1"/>
  <c r="B8" i="44"/>
  <c r="B7" i="44" s="1"/>
  <c r="F20" i="25"/>
  <c r="G9" i="11"/>
  <c r="I12" i="14"/>
  <c r="H12" i="14"/>
  <c r="G12" i="14"/>
  <c r="I16" i="14"/>
  <c r="H16" i="14"/>
  <c r="I11" i="15"/>
  <c r="H11" i="15"/>
  <c r="G11" i="15"/>
  <c r="I11" i="16"/>
  <c r="H11" i="16"/>
  <c r="G11" i="16"/>
  <c r="I13" i="18"/>
  <c r="G13" i="18"/>
  <c r="I11" i="18"/>
  <c r="H11" i="18"/>
  <c r="G11" i="18"/>
  <c r="I16" i="17"/>
  <c r="H16" i="17"/>
  <c r="G16" i="17"/>
  <c r="I11" i="17"/>
  <c r="H11" i="17"/>
  <c r="G11" i="17"/>
  <c r="I16" i="21"/>
  <c r="G16" i="21"/>
  <c r="H16" i="21"/>
  <c r="I14" i="21"/>
  <c r="H14" i="21"/>
  <c r="G14" i="21"/>
  <c r="I12" i="21"/>
  <c r="H12" i="21"/>
  <c r="G12" i="21"/>
  <c r="I11" i="20"/>
  <c r="H11" i="20"/>
  <c r="G11" i="20"/>
  <c r="I15" i="22"/>
  <c r="H15" i="22"/>
  <c r="G15" i="22"/>
  <c r="I13" i="22"/>
  <c r="H13" i="22"/>
  <c r="G13" i="22"/>
  <c r="I11" i="22"/>
  <c r="H11" i="22"/>
  <c r="G11" i="22"/>
  <c r="I15" i="24"/>
  <c r="H15" i="24"/>
  <c r="G15" i="24"/>
  <c r="I13" i="24"/>
  <c r="H13" i="24"/>
  <c r="G13" i="24"/>
  <c r="I11" i="24"/>
  <c r="H11" i="24"/>
  <c r="G11" i="24"/>
  <c r="I12" i="25"/>
  <c r="H12" i="25"/>
  <c r="G12" i="25"/>
  <c r="E18" i="27"/>
  <c r="D18" i="27"/>
  <c r="I11" i="28"/>
  <c r="H11" i="28"/>
  <c r="G11" i="28"/>
  <c r="C6" i="49" l="1"/>
  <c r="F11" i="20"/>
  <c r="F11" i="15"/>
  <c r="E11" i="27"/>
  <c r="D11" i="27"/>
  <c r="C11" i="27"/>
  <c r="I6" i="29"/>
  <c r="H6" i="29"/>
  <c r="I11" i="29"/>
  <c r="H11" i="29"/>
  <c r="G11" i="29"/>
  <c r="F11" i="29" s="1"/>
  <c r="I13" i="29"/>
  <c r="H13" i="29"/>
  <c r="G13" i="29"/>
  <c r="H13" i="30"/>
  <c r="I13" i="30"/>
  <c r="I11" i="30"/>
  <c r="H11" i="30"/>
  <c r="G11" i="30"/>
  <c r="I11" i="31"/>
  <c r="H11" i="31"/>
  <c r="G11" i="31"/>
  <c r="I15" i="34"/>
  <c r="H15" i="34"/>
  <c r="G15" i="34"/>
  <c r="I11" i="32"/>
  <c r="H11" i="32"/>
  <c r="G11" i="32"/>
  <c r="I13" i="33"/>
  <c r="I26" i="39" s="1"/>
  <c r="H13" i="33"/>
  <c r="H26" i="39" s="1"/>
  <c r="G13" i="33"/>
  <c r="G26" i="39" s="1"/>
  <c r="I11" i="33"/>
  <c r="H11" i="33"/>
  <c r="G11" i="33"/>
  <c r="I11" i="34"/>
  <c r="H11" i="34"/>
  <c r="G11" i="34"/>
  <c r="C81" i="23"/>
  <c r="C80" i="23"/>
  <c r="A81" i="23"/>
  <c r="A80" i="23"/>
  <c r="G7" i="22"/>
  <c r="E40" i="23"/>
  <c r="E41" i="23"/>
  <c r="E42" i="23"/>
  <c r="E43" i="23"/>
  <c r="E44" i="23"/>
  <c r="D40" i="23"/>
  <c r="D42" i="23"/>
  <c r="D44" i="23"/>
  <c r="D39" i="23"/>
  <c r="E39" i="23"/>
  <c r="C40" i="23"/>
  <c r="C41" i="23"/>
  <c r="C42" i="23"/>
  <c r="C43" i="23"/>
  <c r="C39" i="23"/>
  <c r="A40" i="23"/>
  <c r="A41" i="23"/>
  <c r="A42" i="23"/>
  <c r="A43" i="23"/>
  <c r="A44" i="23"/>
  <c r="A39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D52" i="23"/>
  <c r="D54" i="23"/>
  <c r="D55" i="23"/>
  <c r="D57" i="23"/>
  <c r="D58" i="23"/>
  <c r="D59" i="23"/>
  <c r="D61" i="23"/>
  <c r="D62" i="23"/>
  <c r="D63" i="23"/>
  <c r="D64" i="23"/>
  <c r="D65" i="23"/>
  <c r="D66" i="23"/>
  <c r="D67" i="23"/>
  <c r="D51" i="23"/>
  <c r="E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7" i="23"/>
  <c r="C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C13" i="23"/>
  <c r="C14" i="23"/>
  <c r="C15" i="23"/>
  <c r="C17" i="23"/>
  <c r="C18" i="23"/>
  <c r="C19" i="23"/>
  <c r="B19" i="23" s="1"/>
  <c r="C12" i="23"/>
  <c r="A13" i="23"/>
  <c r="A14" i="23"/>
  <c r="A15" i="23"/>
  <c r="A16" i="23"/>
  <c r="A17" i="23"/>
  <c r="A18" i="23"/>
  <c r="A19" i="23"/>
  <c r="F23" i="14"/>
  <c r="A27" i="23"/>
  <c r="A28" i="23"/>
  <c r="A26" i="23"/>
  <c r="A22" i="23"/>
  <c r="A21" i="23"/>
  <c r="A12" i="23"/>
  <c r="G8" i="25"/>
  <c r="G7" i="25"/>
  <c r="C50" i="23" l="1"/>
  <c r="E38" i="23"/>
  <c r="J27" i="1"/>
  <c r="K27" i="1"/>
  <c r="J21" i="1"/>
  <c r="I21" i="1"/>
  <c r="J35" i="45"/>
  <c r="K35" i="45"/>
  <c r="J29" i="45"/>
  <c r="I29" i="45"/>
  <c r="C9" i="23" l="1"/>
  <c r="C10" i="23"/>
  <c r="C8" i="23"/>
  <c r="A9" i="23"/>
  <c r="A10" i="23"/>
  <c r="F20" i="13"/>
  <c r="A30" i="23"/>
  <c r="B98" i="23"/>
  <c r="B18" i="23"/>
  <c r="H14" i="18"/>
  <c r="H13" i="18" s="1"/>
  <c r="H14" i="15"/>
  <c r="I18" i="41"/>
  <c r="H18" i="41"/>
  <c r="F25" i="41"/>
  <c r="F24" i="41"/>
  <c r="I23" i="41"/>
  <c r="H23" i="41"/>
  <c r="G23" i="41"/>
  <c r="F22" i="41"/>
  <c r="F21" i="41"/>
  <c r="I20" i="41"/>
  <c r="H20" i="41"/>
  <c r="G20" i="41"/>
  <c r="G18" i="41" s="1"/>
  <c r="F19" i="41"/>
  <c r="F24" i="14"/>
  <c r="G13" i="30"/>
  <c r="F15" i="28"/>
  <c r="G6" i="26"/>
  <c r="G6" i="25"/>
  <c r="G6" i="15"/>
  <c r="F11" i="14"/>
  <c r="G6" i="14"/>
  <c r="G35" i="45"/>
  <c r="F35" i="45"/>
  <c r="E35" i="45"/>
  <c r="D35" i="45"/>
  <c r="K33" i="45"/>
  <c r="I33" i="45"/>
  <c r="G33" i="45"/>
  <c r="F33" i="45"/>
  <c r="E33" i="45"/>
  <c r="D33" i="45"/>
  <c r="K32" i="45"/>
  <c r="K31" i="45" s="1"/>
  <c r="I32" i="45"/>
  <c r="G32" i="45"/>
  <c r="F32" i="45"/>
  <c r="E32" i="45"/>
  <c r="D32" i="45"/>
  <c r="F31" i="45"/>
  <c r="E31" i="45"/>
  <c r="G29" i="45"/>
  <c r="F29" i="45"/>
  <c r="E29" i="45"/>
  <c r="D29" i="45"/>
  <c r="E27" i="45"/>
  <c r="D27" i="45"/>
  <c r="G26" i="45"/>
  <c r="G25" i="45"/>
  <c r="G24" i="45"/>
  <c r="G23" i="45" s="1"/>
  <c r="E24" i="45"/>
  <c r="E23" i="45" s="1"/>
  <c r="F23" i="45"/>
  <c r="D23" i="45"/>
  <c r="G22" i="45"/>
  <c r="F22" i="45"/>
  <c r="E22" i="45"/>
  <c r="D22" i="45"/>
  <c r="G21" i="45"/>
  <c r="F21" i="45"/>
  <c r="E21" i="45"/>
  <c r="D21" i="45"/>
  <c r="G20" i="45"/>
  <c r="F20" i="45"/>
  <c r="E20" i="45"/>
  <c r="D20" i="45"/>
  <c r="G19" i="45"/>
  <c r="F19" i="45"/>
  <c r="E19" i="45"/>
  <c r="D19" i="45"/>
  <c r="G17" i="45"/>
  <c r="F17" i="45"/>
  <c r="E17" i="45"/>
  <c r="D17" i="45"/>
  <c r="H16" i="45"/>
  <c r="E16" i="45"/>
  <c r="G15" i="45"/>
  <c r="D15" i="45"/>
  <c r="G31" i="45" l="1"/>
  <c r="D31" i="45"/>
  <c r="I31" i="45"/>
  <c r="C7" i="23"/>
  <c r="B10" i="23"/>
  <c r="D18" i="45"/>
  <c r="F23" i="41"/>
  <c r="F20" i="41"/>
  <c r="F18" i="41"/>
  <c r="E18" i="45"/>
  <c r="H20" i="20"/>
  <c r="D43" i="23" s="1"/>
  <c r="G15" i="16"/>
  <c r="H27" i="2"/>
  <c r="G21" i="14" l="1"/>
  <c r="C16" i="23" s="1"/>
  <c r="C11" i="23" s="1"/>
  <c r="G16" i="14" l="1"/>
  <c r="G7" i="5"/>
  <c r="G24" i="5" s="1"/>
  <c r="I14" i="45" s="1"/>
  <c r="F20" i="5"/>
  <c r="F24" i="40"/>
  <c r="F15" i="31"/>
  <c r="F15" i="17"/>
  <c r="E13" i="27"/>
  <c r="D13" i="27"/>
  <c r="C13" i="27"/>
  <c r="C44" i="23"/>
  <c r="C38" i="23" s="1"/>
  <c r="F18" i="28"/>
  <c r="B57" i="23" l="1"/>
  <c r="I15" i="20"/>
  <c r="G15" i="20"/>
  <c r="F17" i="20"/>
  <c r="F19" i="20"/>
  <c r="F20" i="20"/>
  <c r="F26" i="20"/>
  <c r="E17" i="23" l="1"/>
  <c r="D17" i="23"/>
  <c r="F22" i="14"/>
  <c r="B17" i="23" l="1"/>
  <c r="B44" i="23"/>
  <c r="A51" i="23"/>
  <c r="C30" i="23"/>
  <c r="I17" i="18"/>
  <c r="H17" i="18"/>
  <c r="F18" i="18"/>
  <c r="G17" i="18"/>
  <c r="G14" i="25"/>
  <c r="B59" i="23" l="1"/>
  <c r="B52" i="23"/>
  <c r="B67" i="23"/>
  <c r="B65" i="23"/>
  <c r="B63" i="23"/>
  <c r="B54" i="23"/>
  <c r="E50" i="23"/>
  <c r="B66" i="23"/>
  <c r="B64" i="23"/>
  <c r="B62" i="23"/>
  <c r="B58" i="23"/>
  <c r="B55" i="23"/>
  <c r="B51" i="23"/>
  <c r="G13" i="16" l="1"/>
  <c r="G10" i="39" s="1"/>
  <c r="G22" i="25"/>
  <c r="C34" i="23" s="1"/>
  <c r="G21" i="25"/>
  <c r="B36" i="23"/>
  <c r="I19" i="25"/>
  <c r="H19" i="25"/>
  <c r="F24" i="25"/>
  <c r="C33" i="23" l="1"/>
  <c r="C31" i="23" s="1"/>
  <c r="G19" i="25"/>
  <c r="F15" i="16"/>
  <c r="G8" i="10"/>
  <c r="H18" i="20"/>
  <c r="D41" i="23" s="1"/>
  <c r="D38" i="23" s="1"/>
  <c r="H24" i="19"/>
  <c r="H20" i="19"/>
  <c r="H17" i="19"/>
  <c r="D53" i="23" s="1"/>
  <c r="H13" i="19"/>
  <c r="I35" i="2"/>
  <c r="H35" i="2"/>
  <c r="G35" i="2"/>
  <c r="I31" i="2"/>
  <c r="H31" i="2"/>
  <c r="G31" i="2"/>
  <c r="D56" i="23" l="1"/>
  <c r="B56" i="23" s="1"/>
  <c r="B61" i="23"/>
  <c r="D60" i="23"/>
  <c r="B60" i="23" s="1"/>
  <c r="F18" i="20"/>
  <c r="H15" i="20"/>
  <c r="F15" i="20" s="1"/>
  <c r="B53" i="23"/>
  <c r="K25" i="1"/>
  <c r="I25" i="1"/>
  <c r="K24" i="1"/>
  <c r="I24" i="1"/>
  <c r="F31" i="41"/>
  <c r="I29" i="41"/>
  <c r="H29" i="41"/>
  <c r="F30" i="41"/>
  <c r="G29" i="41"/>
  <c r="I26" i="41"/>
  <c r="H26" i="41"/>
  <c r="F28" i="41"/>
  <c r="F27" i="41"/>
  <c r="G26" i="41"/>
  <c r="F8" i="41"/>
  <c r="F7" i="41"/>
  <c r="F13" i="41"/>
  <c r="F14" i="41"/>
  <c r="I12" i="41"/>
  <c r="H12" i="41"/>
  <c r="G12" i="41"/>
  <c r="F16" i="41"/>
  <c r="F17" i="41"/>
  <c r="I15" i="41"/>
  <c r="H15" i="41"/>
  <c r="G15" i="41"/>
  <c r="I9" i="41"/>
  <c r="H9" i="41"/>
  <c r="G9" i="41"/>
  <c r="F11" i="41"/>
  <c r="G6" i="13"/>
  <c r="C8" i="8" s="1"/>
  <c r="I22" i="39"/>
  <c r="H22" i="39"/>
  <c r="G22" i="39"/>
  <c r="E22" i="39"/>
  <c r="D22" i="39"/>
  <c r="C22" i="39"/>
  <c r="B22" i="39"/>
  <c r="E21" i="39"/>
  <c r="D21" i="39"/>
  <c r="C21" i="39"/>
  <c r="B21" i="39"/>
  <c r="I20" i="39"/>
  <c r="I19" i="39"/>
  <c r="H19" i="39"/>
  <c r="G19" i="39"/>
  <c r="E19" i="39"/>
  <c r="D19" i="39"/>
  <c r="C19" i="39"/>
  <c r="B19" i="39"/>
  <c r="I17" i="39"/>
  <c r="H17" i="39"/>
  <c r="G17" i="39"/>
  <c r="E17" i="39"/>
  <c r="D17" i="39"/>
  <c r="C17" i="39"/>
  <c r="B17" i="39"/>
  <c r="I16" i="39"/>
  <c r="H16" i="39"/>
  <c r="G16" i="39"/>
  <c r="E16" i="39"/>
  <c r="D16" i="39"/>
  <c r="C16" i="39"/>
  <c r="B16" i="39"/>
  <c r="E15" i="39"/>
  <c r="D15" i="39"/>
  <c r="C15" i="39"/>
  <c r="B15" i="39"/>
  <c r="E13" i="39"/>
  <c r="D13" i="39"/>
  <c r="C13" i="39"/>
  <c r="B13" i="39"/>
  <c r="E10" i="39"/>
  <c r="D10" i="39"/>
  <c r="C10" i="39"/>
  <c r="B10" i="39"/>
  <c r="E9" i="39"/>
  <c r="D9" i="39"/>
  <c r="C9" i="39"/>
  <c r="B9" i="39"/>
  <c r="E8" i="39"/>
  <c r="D8" i="39"/>
  <c r="C8" i="39"/>
  <c r="B8" i="39"/>
  <c r="I7" i="39"/>
  <c r="H7" i="39"/>
  <c r="G7" i="39"/>
  <c r="E7" i="39"/>
  <c r="D7" i="39"/>
  <c r="C7" i="39"/>
  <c r="B7" i="39"/>
  <c r="C21" i="27"/>
  <c r="C18" i="27" s="1"/>
  <c r="H15" i="25"/>
  <c r="H14" i="25" s="1"/>
  <c r="E84" i="23"/>
  <c r="D84" i="23"/>
  <c r="C84" i="23"/>
  <c r="E83" i="23"/>
  <c r="D83" i="23"/>
  <c r="C83" i="23"/>
  <c r="E81" i="23"/>
  <c r="D81" i="23"/>
  <c r="E80" i="23"/>
  <c r="D80" i="23"/>
  <c r="E76" i="23"/>
  <c r="E74" i="23" s="1"/>
  <c r="D76" i="23"/>
  <c r="D74" i="23" s="1"/>
  <c r="C76" i="23"/>
  <c r="C73" i="23"/>
  <c r="B73" i="23" s="1"/>
  <c r="A73" i="23"/>
  <c r="A72" i="23"/>
  <c r="C71" i="23"/>
  <c r="B71" i="23" s="1"/>
  <c r="A71" i="23"/>
  <c r="C70" i="23"/>
  <c r="B70" i="23" s="1"/>
  <c r="A70" i="23"/>
  <c r="B35" i="23"/>
  <c r="B34" i="23"/>
  <c r="E22" i="23"/>
  <c r="D22" i="23"/>
  <c r="C22" i="23"/>
  <c r="E21" i="23"/>
  <c r="D21" i="23"/>
  <c r="G17" i="15"/>
  <c r="C21" i="23" s="1"/>
  <c r="E16" i="23"/>
  <c r="D16" i="23"/>
  <c r="E15" i="23"/>
  <c r="D15" i="23"/>
  <c r="E14" i="23"/>
  <c r="D14" i="23"/>
  <c r="E13" i="23"/>
  <c r="D13" i="23"/>
  <c r="E12" i="23"/>
  <c r="D12" i="23"/>
  <c r="E9" i="23"/>
  <c r="E7" i="23" s="1"/>
  <c r="D9" i="23"/>
  <c r="D7" i="23" s="1"/>
  <c r="I27" i="11"/>
  <c r="H27" i="11"/>
  <c r="G27" i="1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E22" i="11"/>
  <c r="D22" i="11"/>
  <c r="C22" i="11"/>
  <c r="B22" i="11"/>
  <c r="I21" i="11"/>
  <c r="H21" i="11"/>
  <c r="G21" i="11"/>
  <c r="E21" i="11"/>
  <c r="D21" i="11"/>
  <c r="C21" i="11"/>
  <c r="B21" i="11"/>
  <c r="I20" i="11"/>
  <c r="H20" i="11"/>
  <c r="G20" i="11"/>
  <c r="F20" i="11" s="1"/>
  <c r="E20" i="11"/>
  <c r="D20" i="11"/>
  <c r="C20" i="11"/>
  <c r="B20" i="11"/>
  <c r="I19" i="11"/>
  <c r="H19" i="11"/>
  <c r="G19" i="11"/>
  <c r="E19" i="11"/>
  <c r="D19" i="11"/>
  <c r="C19" i="11"/>
  <c r="B19" i="11"/>
  <c r="I18" i="11"/>
  <c r="H18" i="11"/>
  <c r="G18" i="11"/>
  <c r="E18" i="11"/>
  <c r="D18" i="11"/>
  <c r="C18" i="11"/>
  <c r="B18" i="11"/>
  <c r="I17" i="11"/>
  <c r="H17" i="11"/>
  <c r="G17" i="11"/>
  <c r="E17" i="11"/>
  <c r="D17" i="11"/>
  <c r="C17" i="11"/>
  <c r="B17" i="11"/>
  <c r="I16" i="11"/>
  <c r="H16" i="11"/>
  <c r="G16" i="11"/>
  <c r="E16" i="11"/>
  <c r="D16" i="11"/>
  <c r="C16" i="11"/>
  <c r="B16" i="11"/>
  <c r="I15" i="11"/>
  <c r="H15" i="11"/>
  <c r="G15" i="11"/>
  <c r="E15" i="11"/>
  <c r="D15" i="11"/>
  <c r="C15" i="11"/>
  <c r="B15" i="11"/>
  <c r="I14" i="11"/>
  <c r="H14" i="11"/>
  <c r="G14" i="11"/>
  <c r="E14" i="11"/>
  <c r="D14" i="11"/>
  <c r="C14" i="11"/>
  <c r="B14" i="11"/>
  <c r="I13" i="11"/>
  <c r="H13" i="11"/>
  <c r="G13" i="11"/>
  <c r="E13" i="11"/>
  <c r="D13" i="11"/>
  <c r="C13" i="11"/>
  <c r="B13" i="11"/>
  <c r="I12" i="11"/>
  <c r="H12" i="11"/>
  <c r="G12" i="11"/>
  <c r="E12" i="11"/>
  <c r="D12" i="11"/>
  <c r="C12" i="11"/>
  <c r="B12" i="11"/>
  <c r="I11" i="11"/>
  <c r="H11" i="11"/>
  <c r="G11" i="11"/>
  <c r="E11" i="11"/>
  <c r="D11" i="11"/>
  <c r="C11" i="11"/>
  <c r="B11" i="11"/>
  <c r="I10" i="11"/>
  <c r="H10" i="11"/>
  <c r="G10" i="11"/>
  <c r="E10" i="11"/>
  <c r="D10" i="11"/>
  <c r="C10" i="11"/>
  <c r="B10" i="11"/>
  <c r="I9" i="11"/>
  <c r="H9" i="11"/>
  <c r="E9" i="11"/>
  <c r="D9" i="11"/>
  <c r="C9" i="11"/>
  <c r="B9" i="11"/>
  <c r="I8" i="11"/>
  <c r="H8" i="11"/>
  <c r="G8" i="11"/>
  <c r="E8" i="11"/>
  <c r="D8" i="11"/>
  <c r="C8" i="11"/>
  <c r="B8" i="11"/>
  <c r="I7" i="11"/>
  <c r="H7" i="11"/>
  <c r="G7" i="11"/>
  <c r="E7" i="11"/>
  <c r="D7" i="11"/>
  <c r="C7" i="11"/>
  <c r="B7" i="11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E21" i="10"/>
  <c r="D21" i="10"/>
  <c r="C21" i="10"/>
  <c r="B21" i="10"/>
  <c r="I20" i="10"/>
  <c r="H20" i="10"/>
  <c r="G20" i="10"/>
  <c r="E20" i="10"/>
  <c r="D20" i="10"/>
  <c r="C20" i="10"/>
  <c r="B20" i="10"/>
  <c r="I19" i="10"/>
  <c r="H19" i="10"/>
  <c r="G19" i="10"/>
  <c r="E19" i="10"/>
  <c r="D19" i="10"/>
  <c r="C19" i="10"/>
  <c r="B19" i="10"/>
  <c r="I18" i="10"/>
  <c r="H18" i="10"/>
  <c r="G18" i="10"/>
  <c r="E18" i="10"/>
  <c r="D18" i="10"/>
  <c r="C18" i="10"/>
  <c r="B18" i="10"/>
  <c r="I17" i="10"/>
  <c r="H17" i="10"/>
  <c r="G17" i="10"/>
  <c r="E17" i="10"/>
  <c r="D17" i="10"/>
  <c r="C17" i="10"/>
  <c r="B17" i="10"/>
  <c r="I16" i="10"/>
  <c r="F16" i="10" s="1"/>
  <c r="H16" i="10"/>
  <c r="G16" i="10"/>
  <c r="E16" i="10"/>
  <c r="D16" i="10"/>
  <c r="C16" i="10"/>
  <c r="B16" i="10"/>
  <c r="I15" i="10"/>
  <c r="H15" i="10"/>
  <c r="G15" i="10"/>
  <c r="E15" i="10"/>
  <c r="D15" i="10"/>
  <c r="C15" i="10"/>
  <c r="B15" i="10"/>
  <c r="I14" i="10"/>
  <c r="H14" i="10"/>
  <c r="G14" i="10"/>
  <c r="E14" i="10"/>
  <c r="D14" i="10"/>
  <c r="C14" i="10"/>
  <c r="B14" i="10"/>
  <c r="I13" i="10"/>
  <c r="H13" i="10"/>
  <c r="G13" i="10"/>
  <c r="E13" i="10"/>
  <c r="D13" i="10"/>
  <c r="C13" i="10"/>
  <c r="B13" i="10"/>
  <c r="I12" i="10"/>
  <c r="H12" i="10"/>
  <c r="G12" i="10"/>
  <c r="E12" i="10"/>
  <c r="D12" i="10"/>
  <c r="C12" i="10"/>
  <c r="B12" i="10"/>
  <c r="I11" i="10"/>
  <c r="H11" i="10"/>
  <c r="G11" i="10"/>
  <c r="E11" i="10"/>
  <c r="D11" i="10"/>
  <c r="C11" i="10"/>
  <c r="B11" i="10"/>
  <c r="I10" i="10"/>
  <c r="H10" i="10"/>
  <c r="G10" i="10"/>
  <c r="E10" i="10"/>
  <c r="D10" i="10"/>
  <c r="C10" i="10"/>
  <c r="B10" i="10"/>
  <c r="I9" i="10"/>
  <c r="H9" i="10"/>
  <c r="G9" i="10"/>
  <c r="E9" i="10"/>
  <c r="D9" i="10"/>
  <c r="C9" i="10"/>
  <c r="B9" i="10"/>
  <c r="I8" i="10"/>
  <c r="H8" i="10"/>
  <c r="E8" i="10"/>
  <c r="D8" i="10"/>
  <c r="C8" i="10"/>
  <c r="B8" i="10"/>
  <c r="I7" i="10"/>
  <c r="H7" i="10"/>
  <c r="G7" i="10"/>
  <c r="E7" i="10"/>
  <c r="D7" i="10"/>
  <c r="C7" i="10"/>
  <c r="B7" i="10"/>
  <c r="I6" i="10"/>
  <c r="H6" i="10"/>
  <c r="G6" i="10"/>
  <c r="E6" i="10"/>
  <c r="D6" i="10"/>
  <c r="C6" i="10"/>
  <c r="B6" i="10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E22" i="9"/>
  <c r="D22" i="9"/>
  <c r="C22" i="9"/>
  <c r="B22" i="9"/>
  <c r="I21" i="9"/>
  <c r="H21" i="9"/>
  <c r="G21" i="9"/>
  <c r="E21" i="9"/>
  <c r="D21" i="9"/>
  <c r="C21" i="9"/>
  <c r="B21" i="9"/>
  <c r="I20" i="9"/>
  <c r="H20" i="9"/>
  <c r="G20" i="9"/>
  <c r="E20" i="9"/>
  <c r="D20" i="9"/>
  <c r="C20" i="9"/>
  <c r="B20" i="9"/>
  <c r="I19" i="9"/>
  <c r="F19" i="9" s="1"/>
  <c r="H19" i="9"/>
  <c r="G19" i="9"/>
  <c r="E19" i="9"/>
  <c r="D19" i="9"/>
  <c r="C19" i="9"/>
  <c r="B19" i="9"/>
  <c r="I18" i="9"/>
  <c r="H18" i="9"/>
  <c r="G18" i="9"/>
  <c r="E18" i="9"/>
  <c r="D18" i="9"/>
  <c r="C18" i="9"/>
  <c r="B18" i="9"/>
  <c r="I17" i="9"/>
  <c r="H17" i="9"/>
  <c r="G17" i="9"/>
  <c r="E17" i="9"/>
  <c r="D17" i="9"/>
  <c r="C17" i="9"/>
  <c r="B17" i="9"/>
  <c r="I16" i="9"/>
  <c r="H16" i="9"/>
  <c r="G16" i="9"/>
  <c r="E16" i="9"/>
  <c r="D16" i="9"/>
  <c r="C16" i="9"/>
  <c r="B16" i="9"/>
  <c r="I15" i="9"/>
  <c r="H15" i="9"/>
  <c r="G15" i="9"/>
  <c r="E15" i="9"/>
  <c r="D15" i="9"/>
  <c r="C15" i="9"/>
  <c r="B15" i="9"/>
  <c r="I14" i="9"/>
  <c r="H14" i="9"/>
  <c r="G14" i="9"/>
  <c r="E14" i="9"/>
  <c r="D14" i="9"/>
  <c r="C14" i="9"/>
  <c r="B14" i="9"/>
  <c r="G13" i="9"/>
  <c r="E13" i="9"/>
  <c r="D13" i="9"/>
  <c r="C13" i="9"/>
  <c r="B13" i="9"/>
  <c r="I12" i="9"/>
  <c r="H12" i="9"/>
  <c r="G12" i="9"/>
  <c r="E12" i="9"/>
  <c r="D12" i="9"/>
  <c r="C12" i="9"/>
  <c r="B12" i="9"/>
  <c r="I11" i="9"/>
  <c r="H11" i="9"/>
  <c r="G11" i="9"/>
  <c r="E11" i="9"/>
  <c r="D11" i="9"/>
  <c r="C11" i="9"/>
  <c r="B11" i="9"/>
  <c r="I10" i="9"/>
  <c r="H10" i="9"/>
  <c r="G10" i="9"/>
  <c r="E10" i="9"/>
  <c r="D10" i="9"/>
  <c r="C10" i="9"/>
  <c r="B10" i="9"/>
  <c r="I9" i="9"/>
  <c r="H9" i="9"/>
  <c r="G9" i="9"/>
  <c r="E9" i="9"/>
  <c r="D9" i="9"/>
  <c r="C9" i="9"/>
  <c r="B9" i="9"/>
  <c r="I8" i="9"/>
  <c r="H8" i="9"/>
  <c r="G8" i="9"/>
  <c r="E8" i="9"/>
  <c r="D8" i="9"/>
  <c r="C8" i="9"/>
  <c r="B8" i="9"/>
  <c r="I7" i="9"/>
  <c r="H7" i="9"/>
  <c r="G7" i="9"/>
  <c r="E7" i="9"/>
  <c r="D7" i="9"/>
  <c r="C7" i="9"/>
  <c r="B7" i="9"/>
  <c r="F9" i="2"/>
  <c r="E9" i="2"/>
  <c r="D9" i="2"/>
  <c r="C9" i="2"/>
  <c r="B9" i="2"/>
  <c r="G27" i="1"/>
  <c r="F27" i="1"/>
  <c r="E27" i="1"/>
  <c r="D27" i="1"/>
  <c r="G25" i="1"/>
  <c r="F25" i="1"/>
  <c r="E25" i="1"/>
  <c r="D25" i="1"/>
  <c r="G24" i="1"/>
  <c r="G23" i="1" s="1"/>
  <c r="F24" i="1"/>
  <c r="F23" i="1" s="1"/>
  <c r="E24" i="1"/>
  <c r="D24" i="1"/>
  <c r="D23" i="1" s="1"/>
  <c r="G21" i="1"/>
  <c r="F21" i="1"/>
  <c r="E21" i="1"/>
  <c r="D21" i="1"/>
  <c r="E19" i="1"/>
  <c r="D19" i="1"/>
  <c r="G18" i="1"/>
  <c r="G17" i="1"/>
  <c r="G16" i="1"/>
  <c r="G15" i="1" s="1"/>
  <c r="E16" i="1"/>
  <c r="E15" i="1" s="1"/>
  <c r="G14" i="1"/>
  <c r="G13" i="1" s="1"/>
  <c r="F14" i="1"/>
  <c r="F13" i="1" s="1"/>
  <c r="E14" i="1"/>
  <c r="E13" i="1" s="1"/>
  <c r="D14" i="1"/>
  <c r="D13" i="1" s="1"/>
  <c r="G12" i="1"/>
  <c r="F12" i="1"/>
  <c r="E12" i="1"/>
  <c r="D12" i="1"/>
  <c r="G7" i="1"/>
  <c r="D7" i="1"/>
  <c r="E17" i="41"/>
  <c r="D17" i="41"/>
  <c r="F10" i="41"/>
  <c r="E10" i="41"/>
  <c r="E33" i="41" s="1"/>
  <c r="D10" i="41"/>
  <c r="D33" i="41" s="1"/>
  <c r="E8" i="41"/>
  <c r="D8" i="41"/>
  <c r="I6" i="41"/>
  <c r="H6" i="41"/>
  <c r="G6" i="41"/>
  <c r="E6" i="41"/>
  <c r="D6" i="41"/>
  <c r="I19" i="40"/>
  <c r="G19" i="40"/>
  <c r="E19" i="40"/>
  <c r="D19" i="40"/>
  <c r="C19" i="40"/>
  <c r="B19" i="40"/>
  <c r="F14" i="40"/>
  <c r="I7" i="40"/>
  <c r="H7" i="40"/>
  <c r="H6" i="40" s="1"/>
  <c r="I6" i="40"/>
  <c r="E6" i="40"/>
  <c r="D6" i="40"/>
  <c r="C6" i="40"/>
  <c r="C25" i="40" s="1"/>
  <c r="B6" i="40"/>
  <c r="E34" i="39"/>
  <c r="D34" i="39"/>
  <c r="C34" i="39"/>
  <c r="B34" i="39"/>
  <c r="J18" i="38"/>
  <c r="I18" i="38"/>
  <c r="H18" i="38"/>
  <c r="G12" i="38"/>
  <c r="F12" i="38"/>
  <c r="E12" i="38"/>
  <c r="D12" i="38"/>
  <c r="D18" i="38"/>
  <c r="J6" i="38"/>
  <c r="I6" i="38"/>
  <c r="H6" i="38"/>
  <c r="G5" i="38"/>
  <c r="G18" i="38" s="1"/>
  <c r="F5" i="38"/>
  <c r="F18" i="38" s="1"/>
  <c r="E5" i="38"/>
  <c r="D5" i="38"/>
  <c r="G11" i="37"/>
  <c r="F11" i="37"/>
  <c r="E11" i="37"/>
  <c r="D11" i="37"/>
  <c r="C11" i="37"/>
  <c r="C17" i="37" s="1"/>
  <c r="B11" i="37"/>
  <c r="B17" i="37" s="1"/>
  <c r="G4" i="37"/>
  <c r="F4" i="37"/>
  <c r="E4" i="37"/>
  <c r="E17" i="37" s="1"/>
  <c r="D4" i="37"/>
  <c r="D17" i="37" s="1"/>
  <c r="G13" i="36"/>
  <c r="F13" i="36"/>
  <c r="E13" i="36"/>
  <c r="D13" i="36"/>
  <c r="G12" i="36"/>
  <c r="F12" i="36"/>
  <c r="E12" i="36"/>
  <c r="D12" i="36"/>
  <c r="C12" i="36"/>
  <c r="C17" i="36" s="1"/>
  <c r="B12" i="36"/>
  <c r="B17" i="36" s="1"/>
  <c r="G10" i="36"/>
  <c r="G5" i="36"/>
  <c r="F5" i="36"/>
  <c r="E5" i="36"/>
  <c r="D5" i="36"/>
  <c r="G12" i="35"/>
  <c r="F12" i="35"/>
  <c r="E12" i="35"/>
  <c r="D12" i="35"/>
  <c r="C12" i="35"/>
  <c r="C21" i="35" s="1"/>
  <c r="B12" i="35"/>
  <c r="B21" i="35" s="1"/>
  <c r="G10" i="35"/>
  <c r="G5" i="35"/>
  <c r="F5" i="35"/>
  <c r="F21" i="35" s="1"/>
  <c r="E5" i="35"/>
  <c r="D5" i="35"/>
  <c r="F15" i="34"/>
  <c r="E26" i="12" s="1"/>
  <c r="F14" i="34"/>
  <c r="G13" i="34"/>
  <c r="G27" i="39" s="1"/>
  <c r="F13" i="34"/>
  <c r="F27" i="39" s="1"/>
  <c r="E13" i="34"/>
  <c r="D13" i="34"/>
  <c r="C13" i="34"/>
  <c r="B13" i="34"/>
  <c r="F11" i="34"/>
  <c r="F9" i="34"/>
  <c r="F8" i="34"/>
  <c r="F7" i="34"/>
  <c r="I6" i="34"/>
  <c r="H6" i="34"/>
  <c r="D29" i="8" s="1"/>
  <c r="G6" i="34"/>
  <c r="E6" i="34"/>
  <c r="D6" i="34"/>
  <c r="C6" i="34"/>
  <c r="C17" i="34" s="1"/>
  <c r="B6" i="34"/>
  <c r="F16" i="33"/>
  <c r="C89" i="23" s="1"/>
  <c r="C88" i="23" s="1"/>
  <c r="I15" i="33"/>
  <c r="H15" i="33"/>
  <c r="G15" i="33"/>
  <c r="F14" i="33"/>
  <c r="F13" i="33"/>
  <c r="E13" i="33"/>
  <c r="D13" i="33"/>
  <c r="C13" i="33"/>
  <c r="B13" i="33"/>
  <c r="F12" i="33"/>
  <c r="F11" i="33"/>
  <c r="F9" i="33"/>
  <c r="F8" i="33"/>
  <c r="F7" i="33"/>
  <c r="I6" i="33"/>
  <c r="H6" i="33"/>
  <c r="D28" i="8" s="1"/>
  <c r="C28" i="8"/>
  <c r="E6" i="33"/>
  <c r="D6" i="33"/>
  <c r="D18" i="33" s="1"/>
  <c r="C6" i="33"/>
  <c r="B6" i="33"/>
  <c r="B18" i="33" s="1"/>
  <c r="I15" i="32"/>
  <c r="H15" i="32"/>
  <c r="G15" i="32"/>
  <c r="F15" i="32" s="1"/>
  <c r="E24" i="12" s="1"/>
  <c r="F14" i="32"/>
  <c r="I13" i="32"/>
  <c r="I25" i="39" s="1"/>
  <c r="H13" i="32"/>
  <c r="H25" i="39" s="1"/>
  <c r="G13" i="32"/>
  <c r="G25" i="39" s="1"/>
  <c r="E13" i="32"/>
  <c r="D13" i="32"/>
  <c r="C13" i="32"/>
  <c r="B13" i="32"/>
  <c r="F11" i="32"/>
  <c r="F9" i="32"/>
  <c r="F8" i="32"/>
  <c r="F7" i="32"/>
  <c r="I6" i="32"/>
  <c r="H6" i="32"/>
  <c r="D27" i="8" s="1"/>
  <c r="G6" i="32"/>
  <c r="C27" i="8" s="1"/>
  <c r="E6" i="32"/>
  <c r="D6" i="32"/>
  <c r="C6" i="32"/>
  <c r="B6" i="32"/>
  <c r="F17" i="31"/>
  <c r="C91" i="23" s="1"/>
  <c r="B91" i="23" s="1"/>
  <c r="I16" i="31"/>
  <c r="H16" i="31"/>
  <c r="G16" i="31"/>
  <c r="F14" i="31"/>
  <c r="I13" i="31"/>
  <c r="I24" i="39" s="1"/>
  <c r="H13" i="31"/>
  <c r="H24" i="39" s="1"/>
  <c r="G13" i="31"/>
  <c r="G24" i="39" s="1"/>
  <c r="E13" i="31"/>
  <c r="D13" i="31"/>
  <c r="C13" i="31"/>
  <c r="B13" i="31"/>
  <c r="F11" i="31"/>
  <c r="F9" i="31"/>
  <c r="F8" i="31"/>
  <c r="F7" i="31"/>
  <c r="I6" i="31"/>
  <c r="E26" i="8" s="1"/>
  <c r="H6" i="31"/>
  <c r="D26" i="8" s="1"/>
  <c r="G6" i="31"/>
  <c r="E6" i="31"/>
  <c r="D6" i="31"/>
  <c r="C6" i="31"/>
  <c r="B6" i="31"/>
  <c r="F18" i="30"/>
  <c r="C87" i="23" s="1"/>
  <c r="B87" i="23" s="1"/>
  <c r="F17" i="30"/>
  <c r="C86" i="23" s="1"/>
  <c r="B86" i="23" s="1"/>
  <c r="I16" i="30"/>
  <c r="I20" i="30" s="1"/>
  <c r="H16" i="30"/>
  <c r="G16" i="30"/>
  <c r="F15" i="30"/>
  <c r="F14" i="30"/>
  <c r="I23" i="39"/>
  <c r="H23" i="39"/>
  <c r="G23" i="39"/>
  <c r="E13" i="30"/>
  <c r="D13" i="30"/>
  <c r="C13" i="30"/>
  <c r="B13" i="30"/>
  <c r="F12" i="30"/>
  <c r="F11" i="30"/>
  <c r="F9" i="30"/>
  <c r="F8" i="30"/>
  <c r="F7" i="30"/>
  <c r="I6" i="30"/>
  <c r="H6" i="30"/>
  <c r="D25" i="8" s="1"/>
  <c r="G6" i="30"/>
  <c r="C22" i="12" s="1"/>
  <c r="E6" i="30"/>
  <c r="E20" i="30" s="1"/>
  <c r="D6" i="30"/>
  <c r="D20" i="30" s="1"/>
  <c r="C6" i="30"/>
  <c r="B6" i="30"/>
  <c r="F17" i="29"/>
  <c r="F16" i="29"/>
  <c r="I15" i="29"/>
  <c r="H15" i="29"/>
  <c r="G15" i="29"/>
  <c r="F13" i="29"/>
  <c r="F22" i="39" s="1"/>
  <c r="E13" i="29"/>
  <c r="D13" i="29"/>
  <c r="C13" i="29"/>
  <c r="B13" i="29"/>
  <c r="F10" i="29"/>
  <c r="F9" i="29"/>
  <c r="F8" i="29"/>
  <c r="F7" i="29"/>
  <c r="E24" i="8"/>
  <c r="D24" i="8"/>
  <c r="G6" i="29"/>
  <c r="C24" i="8" s="1"/>
  <c r="E6" i="29"/>
  <c r="D6" i="29"/>
  <c r="D19" i="29" s="1"/>
  <c r="C6" i="29"/>
  <c r="B6" i="29"/>
  <c r="F20" i="28"/>
  <c r="F19" i="28"/>
  <c r="I17" i="28"/>
  <c r="H17" i="28"/>
  <c r="G17" i="28"/>
  <c r="F14" i="28"/>
  <c r="I13" i="28"/>
  <c r="I21" i="39" s="1"/>
  <c r="H13" i="28"/>
  <c r="H21" i="39" s="1"/>
  <c r="G21" i="39"/>
  <c r="E13" i="28"/>
  <c r="D13" i="28"/>
  <c r="C13" i="28"/>
  <c r="B13" i="28"/>
  <c r="F11" i="28"/>
  <c r="F9" i="28"/>
  <c r="F8" i="28"/>
  <c r="F7" i="28"/>
  <c r="I6" i="28"/>
  <c r="E23" i="8" s="1"/>
  <c r="H6" i="28"/>
  <c r="D23" i="8" s="1"/>
  <c r="G6" i="28"/>
  <c r="C20" i="12" s="1"/>
  <c r="E6" i="28"/>
  <c r="D6" i="28"/>
  <c r="C6" i="28"/>
  <c r="B6" i="28"/>
  <c r="B22" i="28" s="1"/>
  <c r="B22" i="27"/>
  <c r="B20" i="27"/>
  <c r="B19" i="27"/>
  <c r="D20" i="39"/>
  <c r="B20" i="39"/>
  <c r="B14" i="27"/>
  <c r="H20" i="39"/>
  <c r="G20" i="39"/>
  <c r="B13" i="27"/>
  <c r="F20" i="39" s="1"/>
  <c r="B12" i="27"/>
  <c r="B11" i="27"/>
  <c r="B9" i="27"/>
  <c r="B8" i="27"/>
  <c r="B7" i="27"/>
  <c r="E6" i="27"/>
  <c r="E22" i="8" s="1"/>
  <c r="D6" i="27"/>
  <c r="D22" i="8" s="1"/>
  <c r="C6" i="27"/>
  <c r="F16" i="26"/>
  <c r="I15" i="26"/>
  <c r="I17" i="26" s="1"/>
  <c r="H15" i="26"/>
  <c r="G15" i="26"/>
  <c r="F13" i="26"/>
  <c r="F19" i="39" s="1"/>
  <c r="D13" i="26"/>
  <c r="C13" i="26"/>
  <c r="B13" i="26"/>
  <c r="F9" i="26"/>
  <c r="F8" i="26"/>
  <c r="F7" i="26"/>
  <c r="I6" i="26"/>
  <c r="H6" i="26"/>
  <c r="C21" i="8"/>
  <c r="E6" i="26"/>
  <c r="D6" i="26"/>
  <c r="C6" i="26"/>
  <c r="B6" i="26"/>
  <c r="B17" i="26" s="1"/>
  <c r="F23" i="25"/>
  <c r="F22" i="25"/>
  <c r="F21" i="25"/>
  <c r="F19" i="25"/>
  <c r="E17" i="12" s="1"/>
  <c r="B14" i="25"/>
  <c r="F17" i="25"/>
  <c r="E18" i="39"/>
  <c r="D18" i="39"/>
  <c r="B18" i="39"/>
  <c r="F16" i="25"/>
  <c r="I14" i="25"/>
  <c r="I18" i="39" s="1"/>
  <c r="G18" i="39"/>
  <c r="E14" i="25"/>
  <c r="F12" i="25"/>
  <c r="F9" i="25"/>
  <c r="F8" i="25"/>
  <c r="F7" i="25"/>
  <c r="I6" i="25"/>
  <c r="H6" i="25"/>
  <c r="D20" i="8" s="1"/>
  <c r="C20" i="8"/>
  <c r="E6" i="25"/>
  <c r="D6" i="25"/>
  <c r="C6" i="25"/>
  <c r="B6" i="25"/>
  <c r="F15" i="24"/>
  <c r="E16" i="12" s="1"/>
  <c r="F13" i="24"/>
  <c r="F17" i="39" s="1"/>
  <c r="D13" i="24"/>
  <c r="C13" i="24"/>
  <c r="B13" i="24"/>
  <c r="F11" i="24"/>
  <c r="F9" i="24"/>
  <c r="F8" i="24"/>
  <c r="F7" i="24"/>
  <c r="I6" i="24"/>
  <c r="H6" i="24"/>
  <c r="G6" i="24"/>
  <c r="G17" i="24" s="1"/>
  <c r="E6" i="24"/>
  <c r="E17" i="24" s="1"/>
  <c r="D6" i="24"/>
  <c r="C6" i="24"/>
  <c r="C17" i="24" s="1"/>
  <c r="B6" i="24"/>
  <c r="B112" i="23"/>
  <c r="B111" i="23"/>
  <c r="B110" i="23"/>
  <c r="B109" i="23"/>
  <c r="B107" i="23"/>
  <c r="B106" i="23"/>
  <c r="B105" i="23"/>
  <c r="B104" i="23"/>
  <c r="B103" i="23"/>
  <c r="B102" i="23"/>
  <c r="B101" i="23"/>
  <c r="B100" i="23"/>
  <c r="B99" i="23"/>
  <c r="B97" i="23"/>
  <c r="B96" i="23"/>
  <c r="B95" i="23"/>
  <c r="B94" i="23"/>
  <c r="B93" i="23"/>
  <c r="E92" i="23"/>
  <c r="D92" i="23"/>
  <c r="E90" i="23"/>
  <c r="D90" i="23"/>
  <c r="E88" i="23"/>
  <c r="D88" i="23"/>
  <c r="E85" i="23"/>
  <c r="D85" i="23"/>
  <c r="C77" i="23"/>
  <c r="E69" i="23"/>
  <c r="D69" i="23"/>
  <c r="B33" i="23"/>
  <c r="D31" i="23"/>
  <c r="E29" i="23"/>
  <c r="D29" i="23"/>
  <c r="E25" i="23"/>
  <c r="D25" i="23"/>
  <c r="B8" i="23"/>
  <c r="F17" i="22"/>
  <c r="F16" i="22"/>
  <c r="C75" i="23" s="1"/>
  <c r="F13" i="22"/>
  <c r="D15" i="12" s="1"/>
  <c r="E13" i="22"/>
  <c r="D13" i="22"/>
  <c r="C13" i="22"/>
  <c r="B13" i="22"/>
  <c r="F12" i="22"/>
  <c r="F11" i="22"/>
  <c r="F9" i="22"/>
  <c r="F8" i="22"/>
  <c r="F7" i="22"/>
  <c r="I6" i="22"/>
  <c r="E18" i="8" s="1"/>
  <c r="H6" i="22"/>
  <c r="D18" i="8" s="1"/>
  <c r="G6" i="22"/>
  <c r="E6" i="22"/>
  <c r="D6" i="22"/>
  <c r="C6" i="22"/>
  <c r="B6" i="22"/>
  <c r="F16" i="21"/>
  <c r="E14" i="12" s="1"/>
  <c r="C14" i="21"/>
  <c r="F15" i="21"/>
  <c r="I15" i="39"/>
  <c r="E14" i="21"/>
  <c r="E18" i="21" s="1"/>
  <c r="D14" i="21"/>
  <c r="B14" i="21"/>
  <c r="F13" i="21"/>
  <c r="F10" i="21"/>
  <c r="F9" i="21"/>
  <c r="F8" i="21"/>
  <c r="F7" i="21"/>
  <c r="I6" i="21"/>
  <c r="E17" i="8" s="1"/>
  <c r="H6" i="21"/>
  <c r="D17" i="8" s="1"/>
  <c r="C14" i="12"/>
  <c r="E6" i="21"/>
  <c r="D6" i="21"/>
  <c r="C6" i="21"/>
  <c r="B6" i="21"/>
  <c r="B43" i="23"/>
  <c r="F16" i="20"/>
  <c r="E14" i="39"/>
  <c r="D14" i="39"/>
  <c r="C14" i="39"/>
  <c r="B14" i="39"/>
  <c r="F14" i="20"/>
  <c r="I13" i="20"/>
  <c r="I14" i="39" s="1"/>
  <c r="H13" i="20"/>
  <c r="H14" i="39" s="1"/>
  <c r="G13" i="20"/>
  <c r="G14" i="39" s="1"/>
  <c r="E13" i="20"/>
  <c r="C13" i="20"/>
  <c r="F9" i="20"/>
  <c r="F8" i="20"/>
  <c r="F7" i="20"/>
  <c r="I6" i="20"/>
  <c r="I27" i="20" s="1"/>
  <c r="H6" i="20"/>
  <c r="G6" i="20"/>
  <c r="C16" i="8" s="1"/>
  <c r="E6" i="20"/>
  <c r="D6" i="20"/>
  <c r="C6" i="20"/>
  <c r="B6" i="20"/>
  <c r="F32" i="19"/>
  <c r="F31" i="19"/>
  <c r="F30" i="19"/>
  <c r="F29" i="19"/>
  <c r="F28" i="19"/>
  <c r="F27" i="19"/>
  <c r="F26" i="19"/>
  <c r="F25" i="19"/>
  <c r="F23" i="19"/>
  <c r="F22" i="19"/>
  <c r="F21" i="19"/>
  <c r="F20" i="19"/>
  <c r="F19" i="19"/>
  <c r="F18" i="19"/>
  <c r="F17" i="19"/>
  <c r="F16" i="19"/>
  <c r="F15" i="19"/>
  <c r="I14" i="19"/>
  <c r="H14" i="19"/>
  <c r="F13" i="19"/>
  <c r="I12" i="19"/>
  <c r="I13" i="39" s="1"/>
  <c r="H12" i="19"/>
  <c r="G12" i="19"/>
  <c r="G13" i="39" s="1"/>
  <c r="E12" i="19"/>
  <c r="D12" i="19"/>
  <c r="D33" i="19" s="1"/>
  <c r="C12" i="19"/>
  <c r="B12" i="19"/>
  <c r="F11" i="19"/>
  <c r="F10" i="19"/>
  <c r="F9" i="19"/>
  <c r="F8" i="19"/>
  <c r="I7" i="19"/>
  <c r="I13" i="9" s="1"/>
  <c r="H7" i="19"/>
  <c r="H13" i="9" s="1"/>
  <c r="G6" i="19"/>
  <c r="C12" i="12" s="1"/>
  <c r="E6" i="19"/>
  <c r="D6" i="19"/>
  <c r="C6" i="19"/>
  <c r="B6" i="19"/>
  <c r="F17" i="18"/>
  <c r="E11" i="12" s="1"/>
  <c r="E12" i="39"/>
  <c r="D12" i="39"/>
  <c r="C12" i="39"/>
  <c r="B12" i="39"/>
  <c r="I12" i="39"/>
  <c r="G12" i="39"/>
  <c r="C13" i="18"/>
  <c r="F12" i="18"/>
  <c r="F11" i="18"/>
  <c r="F10" i="18"/>
  <c r="F9" i="18"/>
  <c r="F8" i="18"/>
  <c r="F7" i="18"/>
  <c r="F6" i="18" s="1"/>
  <c r="I6" i="18"/>
  <c r="H6" i="18"/>
  <c r="D14" i="8" s="1"/>
  <c r="G6" i="18"/>
  <c r="E6" i="18"/>
  <c r="D6" i="18"/>
  <c r="C6" i="18"/>
  <c r="B6" i="18"/>
  <c r="F17" i="17"/>
  <c r="F16" i="17"/>
  <c r="E10" i="12" s="1"/>
  <c r="D15" i="17"/>
  <c r="C15" i="17"/>
  <c r="B15" i="17"/>
  <c r="F14" i="17"/>
  <c r="E11" i="39"/>
  <c r="D11" i="39"/>
  <c r="C11" i="39"/>
  <c r="B11" i="39"/>
  <c r="I13" i="17"/>
  <c r="I11" i="39" s="1"/>
  <c r="G13" i="17"/>
  <c r="G11" i="39" s="1"/>
  <c r="F12" i="17"/>
  <c r="F11" i="17"/>
  <c r="F10" i="17"/>
  <c r="F9" i="17"/>
  <c r="F8" i="17"/>
  <c r="F7" i="17"/>
  <c r="I6" i="17"/>
  <c r="I18" i="17" s="1"/>
  <c r="H6" i="17"/>
  <c r="D13" i="8" s="1"/>
  <c r="G6" i="17"/>
  <c r="C10" i="12" s="1"/>
  <c r="E6" i="17"/>
  <c r="D6" i="17"/>
  <c r="C6" i="17"/>
  <c r="B6" i="17"/>
  <c r="F20" i="16"/>
  <c r="C28" i="23" s="1"/>
  <c r="B28" i="23" s="1"/>
  <c r="F19" i="16"/>
  <c r="C27" i="23" s="1"/>
  <c r="B27" i="23" s="1"/>
  <c r="F18" i="16"/>
  <c r="C26" i="23" s="1"/>
  <c r="I16" i="16"/>
  <c r="H16" i="16"/>
  <c r="H21" i="16" s="1"/>
  <c r="G16" i="16"/>
  <c r="I13" i="16"/>
  <c r="I10" i="39" s="1"/>
  <c r="H13" i="16"/>
  <c r="H10" i="39" s="1"/>
  <c r="E13" i="16"/>
  <c r="D13" i="16"/>
  <c r="C13" i="16"/>
  <c r="C21" i="16" s="1"/>
  <c r="B13" i="16"/>
  <c r="F11" i="16"/>
  <c r="F9" i="16"/>
  <c r="F8" i="16"/>
  <c r="F7" i="16"/>
  <c r="I6" i="16"/>
  <c r="I21" i="16" s="1"/>
  <c r="H6" i="16"/>
  <c r="D12" i="8" s="1"/>
  <c r="G6" i="16"/>
  <c r="C9" i="12" s="1"/>
  <c r="E6" i="16"/>
  <c r="E21" i="16" s="1"/>
  <c r="D6" i="16"/>
  <c r="D21" i="16" s="1"/>
  <c r="C6" i="16"/>
  <c r="B6" i="16"/>
  <c r="B21" i="16" s="1"/>
  <c r="F18" i="15"/>
  <c r="I16" i="15"/>
  <c r="H16" i="15"/>
  <c r="F14" i="15"/>
  <c r="I13" i="15"/>
  <c r="I9" i="39" s="1"/>
  <c r="H13" i="15"/>
  <c r="H9" i="39" s="1"/>
  <c r="G13" i="15"/>
  <c r="G9" i="39" s="1"/>
  <c r="E13" i="15"/>
  <c r="D13" i="15"/>
  <c r="C13" i="15"/>
  <c r="B13" i="15"/>
  <c r="F9" i="15"/>
  <c r="F8" i="15"/>
  <c r="F7" i="15"/>
  <c r="I6" i="15"/>
  <c r="E11" i="8" s="1"/>
  <c r="H6" i="15"/>
  <c r="D11" i="8" s="1"/>
  <c r="F6" i="15"/>
  <c r="E6" i="15"/>
  <c r="E19" i="15" s="1"/>
  <c r="D6" i="15"/>
  <c r="C6" i="15"/>
  <c r="B6" i="15"/>
  <c r="B19" i="15" s="1"/>
  <c r="F21" i="14"/>
  <c r="F20" i="14"/>
  <c r="F19" i="14"/>
  <c r="F18" i="14"/>
  <c r="F17" i="14"/>
  <c r="F15" i="14"/>
  <c r="I14" i="14"/>
  <c r="I8" i="39" s="1"/>
  <c r="H14" i="14"/>
  <c r="H8" i="39" s="1"/>
  <c r="G14" i="14"/>
  <c r="G8" i="39" s="1"/>
  <c r="E14" i="14"/>
  <c r="D14" i="14"/>
  <c r="C14" i="14"/>
  <c r="B14" i="14"/>
  <c r="F12" i="14"/>
  <c r="F9" i="14"/>
  <c r="F8" i="14"/>
  <c r="F7" i="14"/>
  <c r="I6" i="14"/>
  <c r="H6" i="14"/>
  <c r="D9" i="8" s="1"/>
  <c r="C7" i="12"/>
  <c r="E6" i="14"/>
  <c r="D6" i="14"/>
  <c r="C6" i="14"/>
  <c r="B6" i="14"/>
  <c r="F19" i="13"/>
  <c r="F18" i="13"/>
  <c r="F17" i="13"/>
  <c r="I16" i="13"/>
  <c r="H16" i="13"/>
  <c r="G16" i="13"/>
  <c r="F14" i="13"/>
  <c r="D6" i="12" s="1"/>
  <c r="E14" i="13"/>
  <c r="D14" i="13"/>
  <c r="C14" i="13"/>
  <c r="B14" i="13"/>
  <c r="F13" i="13"/>
  <c r="F12" i="13"/>
  <c r="F10" i="13"/>
  <c r="F9" i="13"/>
  <c r="F8" i="13"/>
  <c r="F7" i="13"/>
  <c r="I6" i="13"/>
  <c r="H6" i="13"/>
  <c r="D8" i="8" s="1"/>
  <c r="F6" i="13"/>
  <c r="E6" i="13"/>
  <c r="D6" i="13"/>
  <c r="C6" i="13"/>
  <c r="B6" i="13"/>
  <c r="F24" i="11"/>
  <c r="B32" i="8"/>
  <c r="C42" i="7"/>
  <c r="G9" i="1"/>
  <c r="F9" i="1"/>
  <c r="D9" i="1"/>
  <c r="B11" i="7"/>
  <c r="E7" i="7"/>
  <c r="E42" i="7" s="1"/>
  <c r="D7" i="7"/>
  <c r="E9" i="1"/>
  <c r="I25" i="6"/>
  <c r="H25" i="6"/>
  <c r="G25" i="6"/>
  <c r="D25" i="6"/>
  <c r="C25" i="6"/>
  <c r="F13" i="6"/>
  <c r="F10" i="6"/>
  <c r="F7" i="6"/>
  <c r="I6" i="1"/>
  <c r="E24" i="5"/>
  <c r="D24" i="5"/>
  <c r="B24" i="5"/>
  <c r="F15" i="5"/>
  <c r="C15" i="5"/>
  <c r="F13" i="5"/>
  <c r="C13" i="5"/>
  <c r="F11" i="5"/>
  <c r="C11" i="5"/>
  <c r="F9" i="5"/>
  <c r="C9" i="5"/>
  <c r="I7" i="5"/>
  <c r="I24" i="5" s="1"/>
  <c r="H7" i="5"/>
  <c r="C7" i="5"/>
  <c r="G31" i="4"/>
  <c r="E31" i="4"/>
  <c r="D31" i="4"/>
  <c r="B31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1" i="4"/>
  <c r="C11" i="4"/>
  <c r="I7" i="4"/>
  <c r="I31" i="4" s="1"/>
  <c r="H7" i="4"/>
  <c r="H31" i="4" s="1"/>
  <c r="C7" i="4"/>
  <c r="F36" i="3"/>
  <c r="G8" i="2" s="1"/>
  <c r="F8" i="2" s="1"/>
  <c r="E36" i="3"/>
  <c r="E8" i="2" s="1"/>
  <c r="D36" i="3"/>
  <c r="D8" i="2" s="1"/>
  <c r="C36" i="3"/>
  <c r="C8" i="2" s="1"/>
  <c r="B36" i="3"/>
  <c r="B8" i="2" s="1"/>
  <c r="F30" i="3"/>
  <c r="G7" i="2" s="1"/>
  <c r="F7" i="2" s="1"/>
  <c r="E30" i="3"/>
  <c r="E7" i="2" s="1"/>
  <c r="D30" i="3"/>
  <c r="D7" i="2" s="1"/>
  <c r="C30" i="3"/>
  <c r="C7" i="2" s="1"/>
  <c r="B30" i="3"/>
  <c r="B7" i="2" s="1"/>
  <c r="F14" i="3"/>
  <c r="G6" i="2" s="1"/>
  <c r="E14" i="3"/>
  <c r="E6" i="2" s="1"/>
  <c r="D14" i="3"/>
  <c r="D6" i="2" s="1"/>
  <c r="C14" i="3"/>
  <c r="C6" i="2" s="1"/>
  <c r="B14" i="3"/>
  <c r="B6" i="2" s="1"/>
  <c r="F4" i="3"/>
  <c r="G5" i="2" s="1"/>
  <c r="E4" i="3"/>
  <c r="E5" i="2" s="1"/>
  <c r="D4" i="3"/>
  <c r="D5" i="2" s="1"/>
  <c r="C4" i="3"/>
  <c r="C5" i="2" s="1"/>
  <c r="B4" i="3"/>
  <c r="B5" i="2" s="1"/>
  <c r="F39" i="2"/>
  <c r="F38" i="2"/>
  <c r="F37" i="2"/>
  <c r="F36" i="2"/>
  <c r="F35" i="2"/>
  <c r="E35" i="2"/>
  <c r="D35" i="2"/>
  <c r="C35" i="2"/>
  <c r="B35" i="2"/>
  <c r="F34" i="2"/>
  <c r="F33" i="2"/>
  <c r="F32" i="2"/>
  <c r="F31" i="2"/>
  <c r="E31" i="2"/>
  <c r="D31" i="2"/>
  <c r="C31" i="2"/>
  <c r="B31" i="2"/>
  <c r="F30" i="2"/>
  <c r="H21" i="40" s="1"/>
  <c r="F29" i="2"/>
  <c r="H20" i="40" s="1"/>
  <c r="F28" i="2"/>
  <c r="F27" i="2"/>
  <c r="E27" i="2"/>
  <c r="D27" i="2"/>
  <c r="D24" i="2" s="1"/>
  <c r="C27" i="2"/>
  <c r="B27" i="2"/>
  <c r="B24" i="2" s="1"/>
  <c r="F26" i="2"/>
  <c r="F25" i="2"/>
  <c r="I24" i="2"/>
  <c r="H24" i="2"/>
  <c r="J8" i="45" s="1"/>
  <c r="J5" i="45" s="1"/>
  <c r="F23" i="2"/>
  <c r="I15" i="40" s="1"/>
  <c r="I25" i="40" s="1"/>
  <c r="F22" i="2"/>
  <c r="F21" i="2"/>
  <c r="F20" i="2"/>
  <c r="F19" i="2"/>
  <c r="I18" i="2"/>
  <c r="H18" i="2"/>
  <c r="G18" i="2"/>
  <c r="E18" i="2"/>
  <c r="D18" i="2"/>
  <c r="C18" i="2"/>
  <c r="B18" i="2"/>
  <c r="F17" i="2"/>
  <c r="F16" i="2"/>
  <c r="I15" i="2"/>
  <c r="H15" i="2"/>
  <c r="E15" i="2"/>
  <c r="D15" i="2"/>
  <c r="C15" i="2"/>
  <c r="B15" i="2"/>
  <c r="F14" i="2"/>
  <c r="F13" i="2"/>
  <c r="F12" i="2"/>
  <c r="G7" i="40" s="1"/>
  <c r="I11" i="2"/>
  <c r="H11" i="2"/>
  <c r="G11" i="2"/>
  <c r="E11" i="2"/>
  <c r="D11" i="2"/>
  <c r="C11" i="2"/>
  <c r="B11" i="2"/>
  <c r="I4" i="2"/>
  <c r="H4" i="2"/>
  <c r="E3" i="2"/>
  <c r="D3" i="2"/>
  <c r="C3" i="2"/>
  <c r="B3" i="2"/>
  <c r="E23" i="1"/>
  <c r="F15" i="1"/>
  <c r="D15" i="1"/>
  <c r="H8" i="1"/>
  <c r="E8" i="1"/>
  <c r="C11" i="12"/>
  <c r="C14" i="8"/>
  <c r="C13" i="12"/>
  <c r="C17" i="8"/>
  <c r="C19" i="8"/>
  <c r="F6" i="24"/>
  <c r="F17" i="24" s="1"/>
  <c r="D16" i="12"/>
  <c r="D17" i="26"/>
  <c r="C6" i="12"/>
  <c r="C11" i="8"/>
  <c r="C15" i="12"/>
  <c r="C18" i="8"/>
  <c r="D14" i="25"/>
  <c r="D26" i="25" s="1"/>
  <c r="C18" i="12"/>
  <c r="E21" i="8"/>
  <c r="D42" i="7"/>
  <c r="C19" i="15"/>
  <c r="G21" i="16"/>
  <c r="G21" i="18"/>
  <c r="B18" i="21"/>
  <c r="C19" i="22"/>
  <c r="E19" i="22"/>
  <c r="H19" i="22"/>
  <c r="D78" i="23" s="1"/>
  <c r="C13" i="17"/>
  <c r="C18" i="17" s="1"/>
  <c r="E13" i="17"/>
  <c r="B13" i="18"/>
  <c r="B21" i="18" s="1"/>
  <c r="D13" i="18"/>
  <c r="D21" i="18" s="1"/>
  <c r="C21" i="18"/>
  <c r="G14" i="19"/>
  <c r="F24" i="19"/>
  <c r="B19" i="22"/>
  <c r="D19" i="22"/>
  <c r="D17" i="24"/>
  <c r="C17" i="12"/>
  <c r="E23" i="27"/>
  <c r="B19" i="29"/>
  <c r="I19" i="29"/>
  <c r="F6" i="30"/>
  <c r="G20" i="30"/>
  <c r="H19" i="31"/>
  <c r="D26" i="12"/>
  <c r="C22" i="8"/>
  <c r="H20" i="30"/>
  <c r="B25" i="40"/>
  <c r="D25" i="40"/>
  <c r="C29" i="8"/>
  <c r="C23" i="12"/>
  <c r="K5" i="1" l="1"/>
  <c r="K13" i="45"/>
  <c r="I5" i="1"/>
  <c r="H5" i="1" s="1"/>
  <c r="I13" i="45"/>
  <c r="H13" i="45" s="1"/>
  <c r="F7" i="1"/>
  <c r="F15" i="45"/>
  <c r="I12" i="1"/>
  <c r="H12" i="1" s="1"/>
  <c r="I20" i="45"/>
  <c r="H20" i="45" s="1"/>
  <c r="D25" i="12"/>
  <c r="F26" i="39"/>
  <c r="C21" i="12"/>
  <c r="F13" i="31"/>
  <c r="F24" i="39" s="1"/>
  <c r="F6" i="29"/>
  <c r="B6" i="27"/>
  <c r="J9" i="1"/>
  <c r="J17" i="45"/>
  <c r="D5" i="1"/>
  <c r="D13" i="45"/>
  <c r="E21" i="13"/>
  <c r="D18" i="21"/>
  <c r="B17" i="24"/>
  <c r="D19" i="31"/>
  <c r="D17" i="34"/>
  <c r="G21" i="35"/>
  <c r="C25" i="8"/>
  <c r="I19" i="31"/>
  <c r="C23" i="8"/>
  <c r="H18" i="33"/>
  <c r="F6" i="31"/>
  <c r="I22" i="28"/>
  <c r="I19" i="22"/>
  <c r="E78" i="23" s="1"/>
  <c r="E77" i="23" s="1"/>
  <c r="I6" i="19"/>
  <c r="I33" i="19" s="1"/>
  <c r="G18" i="17"/>
  <c r="C13" i="8"/>
  <c r="C16" i="12"/>
  <c r="F5" i="1"/>
  <c r="F13" i="45"/>
  <c r="J7" i="1"/>
  <c r="J15" i="45"/>
  <c r="K9" i="1"/>
  <c r="K17" i="45"/>
  <c r="F6" i="22"/>
  <c r="D19" i="8"/>
  <c r="B19" i="8" s="1"/>
  <c r="H17" i="24"/>
  <c r="C17" i="26"/>
  <c r="H17" i="26"/>
  <c r="E17" i="34"/>
  <c r="D21" i="35"/>
  <c r="F17" i="37"/>
  <c r="H33" i="41"/>
  <c r="I23" i="1"/>
  <c r="G19" i="31"/>
  <c r="G19" i="22"/>
  <c r="F13" i="20"/>
  <c r="D13" i="12" s="1"/>
  <c r="E18" i="17"/>
  <c r="F16" i="16"/>
  <c r="E9" i="12" s="1"/>
  <c r="I18" i="21"/>
  <c r="F6" i="26"/>
  <c r="F16" i="39"/>
  <c r="C12" i="8"/>
  <c r="J5" i="1"/>
  <c r="J13" i="45"/>
  <c r="G5" i="1"/>
  <c r="G13" i="45"/>
  <c r="E7" i="1"/>
  <c r="E15" i="45"/>
  <c r="K7" i="1"/>
  <c r="K15" i="45"/>
  <c r="E19" i="8"/>
  <c r="I17" i="24"/>
  <c r="I26" i="25"/>
  <c r="B19" i="31"/>
  <c r="F6" i="34"/>
  <c r="F17" i="34" s="1"/>
  <c r="E21" i="35"/>
  <c r="F17" i="36"/>
  <c r="G17" i="37"/>
  <c r="I33" i="41"/>
  <c r="K23" i="1"/>
  <c r="I9" i="1"/>
  <c r="H9" i="1" s="1"/>
  <c r="I17" i="45"/>
  <c r="I7" i="1"/>
  <c r="H7" i="1" s="1"/>
  <c r="I15" i="45"/>
  <c r="D50" i="23"/>
  <c r="I19" i="15"/>
  <c r="D19" i="15"/>
  <c r="B33" i="19"/>
  <c r="D21" i="12"/>
  <c r="G21" i="13"/>
  <c r="F24" i="9"/>
  <c r="D26" i="1"/>
  <c r="D20" i="1" s="1"/>
  <c r="D34" i="45"/>
  <c r="D28" i="45" s="1"/>
  <c r="F26" i="1"/>
  <c r="F34" i="45"/>
  <c r="F28" i="45" s="1"/>
  <c r="K34" i="45"/>
  <c r="K26" i="1"/>
  <c r="K29" i="45"/>
  <c r="K21" i="1"/>
  <c r="E26" i="1"/>
  <c r="E20" i="1" s="1"/>
  <c r="E34" i="45"/>
  <c r="E28" i="45" s="1"/>
  <c r="G26" i="1"/>
  <c r="G34" i="45"/>
  <c r="G28" i="45" s="1"/>
  <c r="J26" i="1"/>
  <c r="J34" i="45"/>
  <c r="C33" i="19"/>
  <c r="F8" i="11"/>
  <c r="F15" i="33"/>
  <c r="E25" i="12" s="1"/>
  <c r="C25" i="12"/>
  <c r="B25" i="12" s="1"/>
  <c r="H17" i="32"/>
  <c r="C18" i="21"/>
  <c r="F14" i="14"/>
  <c r="F6" i="1"/>
  <c r="F14" i="45"/>
  <c r="C24" i="5"/>
  <c r="D6" i="1"/>
  <c r="D14" i="45"/>
  <c r="G6" i="1"/>
  <c r="G14" i="45"/>
  <c r="K6" i="1"/>
  <c r="K14" i="45"/>
  <c r="F10" i="10"/>
  <c r="F21" i="10"/>
  <c r="F22" i="10"/>
  <c r="F15" i="11"/>
  <c r="G33" i="41"/>
  <c r="H8" i="45"/>
  <c r="J24" i="1"/>
  <c r="H24" i="1" s="1"/>
  <c r="J32" i="45"/>
  <c r="F21" i="40"/>
  <c r="J33" i="45"/>
  <c r="H33" i="45" s="1"/>
  <c r="G19" i="1"/>
  <c r="G27" i="45"/>
  <c r="G18" i="45" s="1"/>
  <c r="F9" i="41"/>
  <c r="F19" i="1"/>
  <c r="F27" i="45"/>
  <c r="F18" i="45" s="1"/>
  <c r="F17" i="11"/>
  <c r="B3" i="3"/>
  <c r="E3" i="3"/>
  <c r="G9" i="40"/>
  <c r="F9" i="40" s="1"/>
  <c r="G11" i="40"/>
  <c r="F11" i="40" s="1"/>
  <c r="G13" i="40"/>
  <c r="F13" i="40" s="1"/>
  <c r="G8" i="40"/>
  <c r="F8" i="40" s="1"/>
  <c r="G10" i="40"/>
  <c r="F10" i="40" s="1"/>
  <c r="G12" i="40"/>
  <c r="F12" i="40" s="1"/>
  <c r="F26" i="11"/>
  <c r="E25" i="14"/>
  <c r="F13" i="16"/>
  <c r="D9" i="12" s="1"/>
  <c r="B9" i="12" s="1"/>
  <c r="I21" i="18"/>
  <c r="G25" i="14"/>
  <c r="C8" i="12"/>
  <c r="C19" i="29"/>
  <c r="B20" i="30"/>
  <c r="F16" i="30"/>
  <c r="E22" i="12" s="1"/>
  <c r="B17" i="32"/>
  <c r="D17" i="32"/>
  <c r="G17" i="32"/>
  <c r="E17" i="36"/>
  <c r="G17" i="36"/>
  <c r="F12" i="41"/>
  <c r="F29" i="41"/>
  <c r="F12" i="9"/>
  <c r="F8" i="10"/>
  <c r="F14" i="10"/>
  <c r="F19" i="10"/>
  <c r="F24" i="10"/>
  <c r="F10" i="11"/>
  <c r="F8" i="9"/>
  <c r="F10" i="9"/>
  <c r="F17" i="9"/>
  <c r="F26" i="9"/>
  <c r="F7" i="10"/>
  <c r="F9" i="10"/>
  <c r="F13" i="10"/>
  <c r="F15" i="10"/>
  <c r="F18" i="10"/>
  <c r="F20" i="10"/>
  <c r="F23" i="10"/>
  <c r="F25" i="10"/>
  <c r="F9" i="11"/>
  <c r="F14" i="11"/>
  <c r="F16" i="11"/>
  <c r="F22" i="11"/>
  <c r="F25" i="11"/>
  <c r="F16" i="31"/>
  <c r="E23" i="12" s="1"/>
  <c r="G33" i="19"/>
  <c r="F19" i="11"/>
  <c r="F14" i="39"/>
  <c r="G27" i="20"/>
  <c r="F6" i="20"/>
  <c r="D22" i="28"/>
  <c r="H22" i="28"/>
  <c r="F6" i="28"/>
  <c r="C23" i="27"/>
  <c r="F23" i="11"/>
  <c r="G20" i="1"/>
  <c r="G16" i="15"/>
  <c r="G19" i="15" s="1"/>
  <c r="F17" i="15"/>
  <c r="E11" i="23"/>
  <c r="F25" i="6"/>
  <c r="F7" i="5"/>
  <c r="F24" i="5" s="1"/>
  <c r="F15" i="9"/>
  <c r="B18" i="8"/>
  <c r="B39" i="23"/>
  <c r="H25" i="14"/>
  <c r="C25" i="14"/>
  <c r="I25" i="14"/>
  <c r="D11" i="23"/>
  <c r="C22" i="28"/>
  <c r="C21" i="13"/>
  <c r="H21" i="13"/>
  <c r="H13" i="39"/>
  <c r="F15" i="25"/>
  <c r="C79" i="23"/>
  <c r="C74" i="23"/>
  <c r="B74" i="23" s="1"/>
  <c r="H17" i="34"/>
  <c r="B17" i="34"/>
  <c r="F26" i="10"/>
  <c r="F27" i="11"/>
  <c r="C18" i="33"/>
  <c r="E18" i="33"/>
  <c r="E17" i="32"/>
  <c r="F15" i="29"/>
  <c r="E21" i="12" s="1"/>
  <c r="F21" i="9"/>
  <c r="D23" i="27"/>
  <c r="C19" i="12"/>
  <c r="D19" i="12"/>
  <c r="B18" i="27"/>
  <c r="E19" i="12" s="1"/>
  <c r="F15" i="26"/>
  <c r="E18" i="12" s="1"/>
  <c r="D18" i="12"/>
  <c r="G17" i="26"/>
  <c r="D21" i="8"/>
  <c r="B21" i="8" s="1"/>
  <c r="E26" i="25"/>
  <c r="B26" i="25"/>
  <c r="G26" i="25"/>
  <c r="G29" i="9"/>
  <c r="B83" i="23"/>
  <c r="F6" i="21"/>
  <c r="B7" i="7"/>
  <c r="B42" i="7" s="1"/>
  <c r="B16" i="12"/>
  <c r="B75" i="23"/>
  <c r="B31" i="23"/>
  <c r="B12" i="23"/>
  <c r="B88" i="23"/>
  <c r="B108" i="23"/>
  <c r="B14" i="23"/>
  <c r="B76" i="23"/>
  <c r="D82" i="23"/>
  <c r="B92" i="23"/>
  <c r="E27" i="12" s="1"/>
  <c r="B27" i="12" s="1"/>
  <c r="D13" i="17"/>
  <c r="D18" i="17" s="1"/>
  <c r="B24" i="8"/>
  <c r="B22" i="8"/>
  <c r="H24" i="5"/>
  <c r="C31" i="4"/>
  <c r="F15" i="41"/>
  <c r="F26" i="41"/>
  <c r="E25" i="40"/>
  <c r="F20" i="1"/>
  <c r="F6" i="33"/>
  <c r="G18" i="33"/>
  <c r="B89" i="23"/>
  <c r="F6" i="32"/>
  <c r="F13" i="32"/>
  <c r="F25" i="39" s="1"/>
  <c r="C90" i="23"/>
  <c r="B90" i="23" s="1"/>
  <c r="C19" i="31"/>
  <c r="E19" i="31"/>
  <c r="C20" i="30"/>
  <c r="F13" i="30"/>
  <c r="G29" i="11"/>
  <c r="B23" i="8"/>
  <c r="F21" i="11"/>
  <c r="B80" i="23"/>
  <c r="E79" i="23"/>
  <c r="B81" i="23"/>
  <c r="F17" i="10"/>
  <c r="F18" i="11"/>
  <c r="H15" i="39"/>
  <c r="B13" i="20"/>
  <c r="B27" i="20" s="1"/>
  <c r="D13" i="20"/>
  <c r="D27" i="20" s="1"/>
  <c r="H29" i="10"/>
  <c r="F11" i="10"/>
  <c r="F12" i="11"/>
  <c r="F6" i="17"/>
  <c r="H13" i="17"/>
  <c r="H18" i="17" s="1"/>
  <c r="F13" i="17"/>
  <c r="F11" i="39" s="1"/>
  <c r="F11" i="11"/>
  <c r="B29" i="10"/>
  <c r="D29" i="10"/>
  <c r="C29" i="11"/>
  <c r="E29" i="11"/>
  <c r="D20" i="23"/>
  <c r="B22" i="23"/>
  <c r="F11" i="1"/>
  <c r="F16" i="14"/>
  <c r="E7" i="12" s="1"/>
  <c r="I29" i="11"/>
  <c r="F6" i="10"/>
  <c r="F7" i="11"/>
  <c r="B9" i="23"/>
  <c r="B7" i="23" s="1"/>
  <c r="F7" i="39"/>
  <c r="F16" i="13"/>
  <c r="F7" i="9"/>
  <c r="F9" i="9"/>
  <c r="F11" i="9"/>
  <c r="F14" i="9"/>
  <c r="F16" i="9"/>
  <c r="F18" i="9"/>
  <c r="F20" i="9"/>
  <c r="F22" i="9"/>
  <c r="F23" i="9"/>
  <c r="F25" i="9"/>
  <c r="F27" i="9"/>
  <c r="C29" i="9"/>
  <c r="E29" i="9"/>
  <c r="H29" i="9"/>
  <c r="B11" i="8"/>
  <c r="B17" i="8"/>
  <c r="C4" i="2"/>
  <c r="C24" i="2"/>
  <c r="H27" i="20"/>
  <c r="F12" i="10"/>
  <c r="I29" i="10"/>
  <c r="H29" i="11"/>
  <c r="E82" i="23"/>
  <c r="E33" i="19"/>
  <c r="C15" i="8"/>
  <c r="C29" i="10"/>
  <c r="E29" i="10"/>
  <c r="G29" i="10"/>
  <c r="H6" i="19"/>
  <c r="D15" i="8" s="1"/>
  <c r="F14" i="19"/>
  <c r="E12" i="12" s="1"/>
  <c r="B29" i="9"/>
  <c r="D29" i="9"/>
  <c r="F13" i="11"/>
  <c r="B29" i="11"/>
  <c r="D29" i="11"/>
  <c r="F12" i="19"/>
  <c r="F24" i="2"/>
  <c r="F17" i="28"/>
  <c r="E20" i="12" s="1"/>
  <c r="H21" i="1"/>
  <c r="F15" i="40"/>
  <c r="J25" i="1"/>
  <c r="H25" i="1" s="1"/>
  <c r="H19" i="15"/>
  <c r="F18" i="2"/>
  <c r="E24" i="2"/>
  <c r="H3" i="2"/>
  <c r="F14" i="25"/>
  <c r="F6" i="41"/>
  <c r="D4" i="2"/>
  <c r="H12" i="39"/>
  <c r="H18" i="39"/>
  <c r="H26" i="25"/>
  <c r="F13" i="15"/>
  <c r="F9" i="39" s="1"/>
  <c r="F14" i="21"/>
  <c r="D14" i="12" s="1"/>
  <c r="B14" i="12" s="1"/>
  <c r="G15" i="39"/>
  <c r="G34" i="39" s="1"/>
  <c r="F12" i="21"/>
  <c r="F18" i="21" s="1"/>
  <c r="G18" i="21"/>
  <c r="H18" i="21"/>
  <c r="F20" i="30"/>
  <c r="F11" i="2"/>
  <c r="F10" i="2" s="1"/>
  <c r="B4" i="2"/>
  <c r="F7" i="4"/>
  <c r="F31" i="4" s="1"/>
  <c r="E8" i="8"/>
  <c r="B8" i="8" s="1"/>
  <c r="B21" i="13"/>
  <c r="E12" i="8"/>
  <c r="F6" i="16"/>
  <c r="F15" i="22"/>
  <c r="E15" i="12" s="1"/>
  <c r="B15" i="12" s="1"/>
  <c r="F6" i="25"/>
  <c r="E20" i="8"/>
  <c r="B20" i="8" s="1"/>
  <c r="F13" i="28"/>
  <c r="C17" i="32"/>
  <c r="C24" i="12"/>
  <c r="E27" i="8"/>
  <c r="B27" i="8" s="1"/>
  <c r="C26" i="12"/>
  <c r="B26" i="12" s="1"/>
  <c r="E29" i="8"/>
  <c r="B29" i="8" s="1"/>
  <c r="D17" i="36"/>
  <c r="B21" i="23"/>
  <c r="B40" i="23"/>
  <c r="B42" i="23"/>
  <c r="E4" i="2"/>
  <c r="I21" i="13"/>
  <c r="I17" i="32"/>
  <c r="G17" i="34"/>
  <c r="E18" i="38"/>
  <c r="B15" i="23"/>
  <c r="B16" i="23"/>
  <c r="C20" i="23"/>
  <c r="E20" i="23"/>
  <c r="D77" i="23"/>
  <c r="F15" i="39"/>
  <c r="F20" i="40"/>
  <c r="F19" i="40" s="1"/>
  <c r="H19" i="40"/>
  <c r="H25" i="40" s="1"/>
  <c r="E6" i="12"/>
  <c r="F21" i="13"/>
  <c r="H11" i="39"/>
  <c r="I34" i="39"/>
  <c r="K22" i="45" s="1"/>
  <c r="K21" i="45" s="1"/>
  <c r="K18" i="45" s="1"/>
  <c r="F7" i="40"/>
  <c r="F5" i="2"/>
  <c r="F6" i="2"/>
  <c r="F3" i="3"/>
  <c r="B26" i="23"/>
  <c r="C25" i="23"/>
  <c r="B25" i="23" s="1"/>
  <c r="C29" i="23"/>
  <c r="B29" i="23" s="1"/>
  <c r="B30" i="23"/>
  <c r="F13" i="9"/>
  <c r="I29" i="9"/>
  <c r="C27" i="20"/>
  <c r="E25" i="8"/>
  <c r="B25" i="8" s="1"/>
  <c r="C26" i="8"/>
  <c r="B13" i="23"/>
  <c r="D79" i="23"/>
  <c r="B84" i="23"/>
  <c r="C82" i="23"/>
  <c r="C72" i="23"/>
  <c r="B21" i="27"/>
  <c r="D25" i="14"/>
  <c r="C18" i="39"/>
  <c r="C14" i="25"/>
  <c r="C26" i="25" s="1"/>
  <c r="C20" i="39"/>
  <c r="E20" i="39"/>
  <c r="E22" i="28"/>
  <c r="G22" i="28"/>
  <c r="E19" i="29"/>
  <c r="G19" i="29"/>
  <c r="I18" i="33"/>
  <c r="E28" i="8"/>
  <c r="B41" i="23"/>
  <c r="C3" i="3"/>
  <c r="G15" i="2"/>
  <c r="F15" i="2" s="1"/>
  <c r="D3" i="3"/>
  <c r="D21" i="13"/>
  <c r="F6" i="14"/>
  <c r="E9" i="8"/>
  <c r="B25" i="14"/>
  <c r="E13" i="8"/>
  <c r="B13" i="8" s="1"/>
  <c r="B13" i="17"/>
  <c r="B18" i="17" s="1"/>
  <c r="E14" i="8"/>
  <c r="B14" i="8" s="1"/>
  <c r="E13" i="18"/>
  <c r="E21" i="18" s="1"/>
  <c r="F7" i="19"/>
  <c r="D16" i="8"/>
  <c r="E16" i="8"/>
  <c r="E13" i="12"/>
  <c r="B13" i="12" s="1"/>
  <c r="E27" i="20"/>
  <c r="C85" i="23"/>
  <c r="B85" i="23" s="1"/>
  <c r="H19" i="29"/>
  <c r="E17" i="26"/>
  <c r="I17" i="34"/>
  <c r="E15" i="8" l="1"/>
  <c r="E5" i="1"/>
  <c r="E13" i="45"/>
  <c r="B21" i="12"/>
  <c r="I40" i="2"/>
  <c r="I3" i="2" s="1"/>
  <c r="D23" i="12"/>
  <c r="B23" i="12" s="1"/>
  <c r="F18" i="33"/>
  <c r="B78" i="23"/>
  <c r="K27" i="45"/>
  <c r="K19" i="1"/>
  <c r="J27" i="45"/>
  <c r="H27" i="45" s="1"/>
  <c r="J19" i="1"/>
  <c r="B77" i="23"/>
  <c r="B12" i="8"/>
  <c r="F19" i="31"/>
  <c r="F33" i="41"/>
  <c r="I19" i="1"/>
  <c r="I27" i="45"/>
  <c r="H17" i="45"/>
  <c r="G10" i="2"/>
  <c r="H15" i="45"/>
  <c r="D7" i="12"/>
  <c r="B7" i="12" s="1"/>
  <c r="F8" i="39"/>
  <c r="F25" i="14"/>
  <c r="E6" i="1"/>
  <c r="E14" i="45"/>
  <c r="J6" i="1"/>
  <c r="H6" i="1" s="1"/>
  <c r="J14" i="45"/>
  <c r="H14" i="45" s="1"/>
  <c r="D6" i="23"/>
  <c r="E6" i="23"/>
  <c r="I7" i="45"/>
  <c r="H7" i="45" s="1"/>
  <c r="H29" i="45"/>
  <c r="K28" i="45"/>
  <c r="J31" i="45"/>
  <c r="H32" i="45"/>
  <c r="F10" i="1"/>
  <c r="K9" i="45"/>
  <c r="K5" i="45" s="1"/>
  <c r="I14" i="1"/>
  <c r="I13" i="1" s="1"/>
  <c r="I22" i="45"/>
  <c r="G6" i="40"/>
  <c r="I26" i="1" s="1"/>
  <c r="F6" i="40"/>
  <c r="F29" i="10"/>
  <c r="F21" i="16"/>
  <c r="F10" i="39"/>
  <c r="F6" i="19"/>
  <c r="D10" i="12"/>
  <c r="B10" i="12" s="1"/>
  <c r="F17" i="26"/>
  <c r="H33" i="19"/>
  <c r="B18" i="12"/>
  <c r="F16" i="15"/>
  <c r="E8" i="12" s="1"/>
  <c r="B11" i="23"/>
  <c r="B19" i="12"/>
  <c r="B15" i="8"/>
  <c r="B79" i="23"/>
  <c r="F19" i="22"/>
  <c r="B82" i="23"/>
  <c r="F19" i="29"/>
  <c r="B23" i="27"/>
  <c r="K14" i="1"/>
  <c r="K13" i="1" s="1"/>
  <c r="K10" i="1" s="1"/>
  <c r="F18" i="17"/>
  <c r="F17" i="32"/>
  <c r="D24" i="12"/>
  <c r="B24" i="12" s="1"/>
  <c r="F23" i="39"/>
  <c r="D22" i="12"/>
  <c r="B22" i="12" s="1"/>
  <c r="D11" i="1"/>
  <c r="D10" i="1" s="1"/>
  <c r="F29" i="11"/>
  <c r="F29" i="9"/>
  <c r="G11" i="1"/>
  <c r="G10" i="1" s="1"/>
  <c r="F26" i="25"/>
  <c r="F13" i="18"/>
  <c r="F21" i="18" s="1"/>
  <c r="K20" i="1"/>
  <c r="J23" i="1"/>
  <c r="J20" i="1" s="1"/>
  <c r="B50" i="23"/>
  <c r="F33" i="19"/>
  <c r="F40" i="2"/>
  <c r="E11" i="1"/>
  <c r="E10" i="1" s="1"/>
  <c r="F13" i="39"/>
  <c r="D12" i="12"/>
  <c r="B12" i="12" s="1"/>
  <c r="H34" i="39"/>
  <c r="J22" i="45" s="1"/>
  <c r="J21" i="45" s="1"/>
  <c r="J18" i="45" s="1"/>
  <c r="D8" i="12"/>
  <c r="H21" i="18"/>
  <c r="F18" i="39"/>
  <c r="D17" i="12"/>
  <c r="B17" i="12" s="1"/>
  <c r="F27" i="20"/>
  <c r="C28" i="12"/>
  <c r="C31" i="12" s="1"/>
  <c r="F21" i="39"/>
  <c r="D20" i="12"/>
  <c r="B20" i="12" s="1"/>
  <c r="F22" i="28"/>
  <c r="B20" i="23"/>
  <c r="B16" i="8"/>
  <c r="B38" i="23"/>
  <c r="B26" i="8"/>
  <c r="C30" i="8"/>
  <c r="C34" i="8" s="1"/>
  <c r="E30" i="8"/>
  <c r="E34" i="8" s="1"/>
  <c r="B28" i="8"/>
  <c r="G4" i="2"/>
  <c r="B9" i="8"/>
  <c r="B72" i="23"/>
  <c r="C69" i="23"/>
  <c r="B69" i="23" s="1"/>
  <c r="B6" i="12"/>
  <c r="D30" i="8"/>
  <c r="D34" i="8" s="1"/>
  <c r="F19" i="15" l="1"/>
  <c r="C6" i="23"/>
  <c r="I24" i="45" s="1"/>
  <c r="I34" i="45"/>
  <c r="G3" i="2"/>
  <c r="I6" i="45"/>
  <c r="I5" i="45" s="1"/>
  <c r="J28" i="45"/>
  <c r="H31" i="45"/>
  <c r="H34" i="45"/>
  <c r="J17" i="1"/>
  <c r="H17" i="1" s="1"/>
  <c r="J25" i="45"/>
  <c r="K18" i="1"/>
  <c r="K26" i="45"/>
  <c r="H9" i="45"/>
  <c r="I21" i="45"/>
  <c r="H22" i="45"/>
  <c r="E28" i="12"/>
  <c r="E31" i="12" s="1"/>
  <c r="H19" i="1"/>
  <c r="B30" i="12"/>
  <c r="F12" i="39"/>
  <c r="F34" i="39" s="1"/>
  <c r="B8" i="12"/>
  <c r="J14" i="1"/>
  <c r="J13" i="1" s="1"/>
  <c r="J10" i="1" s="1"/>
  <c r="D11" i="12"/>
  <c r="B11" i="12" s="1"/>
  <c r="H23" i="1"/>
  <c r="F4" i="2"/>
  <c r="F3" i="2" s="1"/>
  <c r="H26" i="1"/>
  <c r="B30" i="8"/>
  <c r="I19" i="45" s="1"/>
  <c r="I18" i="45" s="1"/>
  <c r="H6" i="45" l="1"/>
  <c r="H5" i="45" s="1"/>
  <c r="H24" i="45"/>
  <c r="I23" i="45"/>
  <c r="H26" i="45"/>
  <c r="K23" i="45"/>
  <c r="H25" i="45"/>
  <c r="J23" i="45"/>
  <c r="J12" i="45" s="1"/>
  <c r="H19" i="45"/>
  <c r="H21" i="45"/>
  <c r="I16" i="1"/>
  <c r="B6" i="23"/>
  <c r="B28" i="12"/>
  <c r="B31" i="12" s="1"/>
  <c r="H13" i="1"/>
  <c r="H14" i="1"/>
  <c r="D28" i="12"/>
  <c r="D31" i="12" s="1"/>
  <c r="I11" i="1"/>
  <c r="I10" i="1" s="1"/>
  <c r="B34" i="8"/>
  <c r="G23" i="40"/>
  <c r="G25" i="40" s="1"/>
  <c r="K12" i="45" l="1"/>
  <c r="K36" i="45"/>
  <c r="J36" i="45"/>
  <c r="H18" i="45"/>
  <c r="K37" i="45"/>
  <c r="I35" i="45"/>
  <c r="H23" i="45"/>
  <c r="F23" i="40"/>
  <c r="F25" i="40" s="1"/>
  <c r="I27" i="1"/>
  <c r="H11" i="1"/>
  <c r="H10" i="1" s="1"/>
  <c r="H16" i="1"/>
  <c r="H35" i="45" l="1"/>
  <c r="I28" i="45"/>
  <c r="H27" i="1"/>
  <c r="I20" i="1"/>
  <c r="H20" i="1" s="1"/>
  <c r="I12" i="45" l="1"/>
  <c r="I37" i="45" s="1"/>
  <c r="I36" i="45"/>
  <c r="H28" i="45"/>
  <c r="H36" i="45" l="1"/>
  <c r="H12" i="45"/>
  <c r="H37" i="45" s="1"/>
  <c r="J15" i="1"/>
  <c r="J28" i="1" s="1"/>
  <c r="K15" i="1"/>
  <c r="K28" i="1" s="1"/>
  <c r="H18" i="1" l="1"/>
  <c r="I15" i="1"/>
  <c r="I28" i="1" s="1"/>
  <c r="H15" i="1" l="1"/>
  <c r="H28" i="1" s="1"/>
</calcChain>
</file>

<file path=xl/sharedStrings.xml><?xml version="1.0" encoding="utf-8"?>
<sst xmlns="http://schemas.openxmlformats.org/spreadsheetml/2006/main" count="1681" uniqueCount="587">
  <si>
    <t>Miles</t>
  </si>
  <si>
    <t>Concepto</t>
  </si>
  <si>
    <t>Anteproyecto 2013</t>
  </si>
  <si>
    <t>Presupuesto</t>
  </si>
  <si>
    <t>Real</t>
  </si>
  <si>
    <t>Total</t>
  </si>
  <si>
    <t>Estatal</t>
  </si>
  <si>
    <t>Ramo 33</t>
  </si>
  <si>
    <t>Prog Fed</t>
  </si>
  <si>
    <t>Poder Legislativo</t>
  </si>
  <si>
    <t>Poder Judicial</t>
  </si>
  <si>
    <t>Instituto Estatal Electoral</t>
  </si>
  <si>
    <t>Com Est de Derechos Humanos</t>
  </si>
  <si>
    <t>Institutos Auxiliares</t>
  </si>
  <si>
    <t>Poder Ejecutivo</t>
  </si>
  <si>
    <t>Gasto Corriente</t>
  </si>
  <si>
    <t>Bienes Muebles e Inmuebles</t>
  </si>
  <si>
    <t>Gasto de Capital</t>
  </si>
  <si>
    <t xml:space="preserve">Inversión Pública </t>
  </si>
  <si>
    <t>Programas Federales</t>
  </si>
  <si>
    <t xml:space="preserve">Ramo 33 </t>
  </si>
  <si>
    <t>Transferencias a Organismos</t>
  </si>
  <si>
    <t>Estatales</t>
  </si>
  <si>
    <t>Deuda Pública</t>
  </si>
  <si>
    <t>Municipios</t>
  </si>
  <si>
    <t>Ramo 20:  Desarrollo Social</t>
  </si>
  <si>
    <t>Ramo 33 Aport Fed p Ent F y M</t>
  </si>
  <si>
    <t>Fondo III:  (FISM)</t>
  </si>
  <si>
    <t>Fondo IV: de Aport p Fort Mpal</t>
  </si>
  <si>
    <t xml:space="preserve">Participaciones </t>
  </si>
  <si>
    <t>FAEDE</t>
  </si>
  <si>
    <t>Sumas</t>
  </si>
  <si>
    <t>Ingresos Propios</t>
  </si>
  <si>
    <t>Impuestos</t>
  </si>
  <si>
    <t>Derechos</t>
  </si>
  <si>
    <t>Productos</t>
  </si>
  <si>
    <t>Aprovechamientos</t>
  </si>
  <si>
    <t>Contribuciones Especiales</t>
  </si>
  <si>
    <t>Participaciones Federales</t>
  </si>
  <si>
    <t>Fondo General de Participaciones</t>
  </si>
  <si>
    <t>Fondo de Fomento Municipal</t>
  </si>
  <si>
    <t>Imp Especial sobre Producción y Servicios</t>
  </si>
  <si>
    <t>Ingresos Coordinados</t>
  </si>
  <si>
    <t>Imp Sobre Tenencia y Uso de Vehículos</t>
  </si>
  <si>
    <t>Imp Sobre Automóviles Nuevos</t>
  </si>
  <si>
    <t>Incentivos Económicos</t>
  </si>
  <si>
    <t>Multas Administrativas no Fiscales</t>
  </si>
  <si>
    <t>Cuota Venta Final de Combustibles</t>
  </si>
  <si>
    <t>Fondo de Fiscalización</t>
  </si>
  <si>
    <t>Ramo 20</t>
  </si>
  <si>
    <t>Fondo I FAEB</t>
  </si>
  <si>
    <t>Fondo II FASSA</t>
  </si>
  <si>
    <t>Fondo III para la Infraestructura Social</t>
  </si>
  <si>
    <t>Fondo III FISE</t>
  </si>
  <si>
    <t>Fondo III FISM</t>
  </si>
  <si>
    <t>Fondo IV FORTAMUN</t>
  </si>
  <si>
    <t>Fondo V de Aportaciones Múltiples</t>
  </si>
  <si>
    <t>Fondo V FAM (Asistencia Social)</t>
  </si>
  <si>
    <t>Fondo V FAM (Infr Educativa Básica)</t>
  </si>
  <si>
    <t>Fondo V FAM (Infr Educativa Superior)</t>
  </si>
  <si>
    <t>Fondo VI Aport p Educ Tec y de Adultos</t>
  </si>
  <si>
    <t>Fondo VI FAETA (Educación Tecnológica)</t>
  </si>
  <si>
    <t>Fondo VI FAETA (Educación de Adultos)</t>
  </si>
  <si>
    <t>Fondo VII FASP (Seguridad Pública)</t>
  </si>
  <si>
    <t>Fondo VIII FAFEF</t>
  </si>
  <si>
    <t>Convenios Federales</t>
  </si>
  <si>
    <t>Sobre Tenencia o uso de Vehículos (estatal)</t>
  </si>
  <si>
    <t>Sobre Adq de Vehículos Automotores Usados</t>
  </si>
  <si>
    <t>Sobre Prestación de Servicio de Hospedaje</t>
  </si>
  <si>
    <t>Sobre Espectáculos</t>
  </si>
  <si>
    <t>Sobre los Serv de Parques Acuát y Balnearios</t>
  </si>
  <si>
    <t>Sobre Loterias, Rifas, Sorteos, Juegos Permitidos con Apuesta</t>
  </si>
  <si>
    <t>Impuesto Sobre Nóminas</t>
  </si>
  <si>
    <t>Impuesto Adicional</t>
  </si>
  <si>
    <t>Registro Público de la Prop y del Comercio</t>
  </si>
  <si>
    <t>Servicios de Archivo y Notariales</t>
  </si>
  <si>
    <t>Servicios de la Dirección Estatal del Reg Civil</t>
  </si>
  <si>
    <t>Servicios de Control Vehicular (refrendo, cambio de propietario)</t>
  </si>
  <si>
    <t>Servicios de la Com  del Agua</t>
  </si>
  <si>
    <t>Servicios de Verificación Vehicular</t>
  </si>
  <si>
    <t>Servicios de la Policía Ind Bancaria y Aux</t>
  </si>
  <si>
    <t>Control de los Servicios de Seguridad Privada</t>
  </si>
  <si>
    <t>Control de los Serv de Educ por Inst Privadas</t>
  </si>
  <si>
    <t>Reg de Títulos Prof, Exped de Cédulas y Con</t>
  </si>
  <si>
    <t>Registro de Contratos de Arrendamiento y otros Contratos relativos a Inmuebles</t>
  </si>
  <si>
    <t>Legalización de Firmas, Certificados, Certificaciones, Constancias y Copias Certificadas</t>
  </si>
  <si>
    <t>Otros no especificados</t>
  </si>
  <si>
    <t>Servicios en Mat.de Desarrollo Sustentable</t>
  </si>
  <si>
    <t xml:space="preserve">   Productos</t>
  </si>
  <si>
    <t>Ut. Por Acciones y part en Sociedades o Empresas, Rend por otras Inversiones en créditos y valores y Recuperaciones de Inversiones en Acciones, Créditos y Valores</t>
  </si>
  <si>
    <t>Publicaciones Oficiales (Periodico Oficial)</t>
  </si>
  <si>
    <t>Impresos y papel especial</t>
  </si>
  <si>
    <t>Actividades del Secretariado Ej de Seg Pública</t>
  </si>
  <si>
    <t>Actividades de la Industria Penitenciaria</t>
  </si>
  <si>
    <t xml:space="preserve">   Aprovechamientos</t>
  </si>
  <si>
    <t xml:space="preserve">Recargos </t>
  </si>
  <si>
    <t>Multas</t>
  </si>
  <si>
    <t>Gastos de Ejecución</t>
  </si>
  <si>
    <t>Congreso del Estado</t>
  </si>
  <si>
    <t>Auditoría Superior de Fiscalización</t>
  </si>
  <si>
    <t>Total Dependencia</t>
  </si>
  <si>
    <t>Tribunal Superior de Justicia</t>
  </si>
  <si>
    <t>Tribunal Estatal Electoral</t>
  </si>
  <si>
    <t>Tribunal Contencioso Administrativo</t>
  </si>
  <si>
    <t>Implementación de Juicios Orales</t>
  </si>
  <si>
    <t>Trib Unit y Juzgado de Justicia Oral p/Adolecentes</t>
  </si>
  <si>
    <t>Prerrogativas a Partidos Políticos (Año Ordinario)</t>
  </si>
  <si>
    <t>Gasto Operativo (Año Ordinario y Año Electoral)</t>
  </si>
  <si>
    <t>Actividades Específicas</t>
  </si>
  <si>
    <t>Instituto de Desarrollo y Fortalecimiento Municipal IDEFOMM</t>
  </si>
  <si>
    <t>Inst.Morelense de Información Púb.y Estadística IMIPE</t>
  </si>
  <si>
    <t>Gubernatura</t>
  </si>
  <si>
    <t>Sría. de Gobierno</t>
  </si>
  <si>
    <t>Sría. de Hacienda</t>
  </si>
  <si>
    <t>Sría. de Economía</t>
  </si>
  <si>
    <t>Sría. de Desarrollo Agropecuario</t>
  </si>
  <si>
    <t>Sría. de Obras Públicas</t>
  </si>
  <si>
    <t>Sría. de Educación</t>
  </si>
  <si>
    <t>Sría. de Salud</t>
  </si>
  <si>
    <t>Procuraduría General de Justicia</t>
  </si>
  <si>
    <t>Sría. de Administración</t>
  </si>
  <si>
    <t>Srtía. de la Contraloría</t>
  </si>
  <si>
    <t xml:space="preserve">Sría. de Seguridad Pública </t>
  </si>
  <si>
    <t>Consejería Jurídica</t>
  </si>
  <si>
    <t>Sría. de Turismo</t>
  </si>
  <si>
    <t>Sría. de Desarrollo Social</t>
  </si>
  <si>
    <t>Sría. del Trabajo</t>
  </si>
  <si>
    <t>Sría. de Cultura</t>
  </si>
  <si>
    <t>Sría. de Desarrollo Sustentable</t>
  </si>
  <si>
    <t>Sría. de Información y Comunicación</t>
  </si>
  <si>
    <t>Sría. de Innovación Ciencia y Tecnol.</t>
  </si>
  <si>
    <t>Sría de Movilidad y Transporte</t>
  </si>
  <si>
    <t>Total Dependencias</t>
  </si>
  <si>
    <t>Suma</t>
  </si>
  <si>
    <t>Resumen de Gasto por Sector</t>
  </si>
  <si>
    <t>Inversion Publica</t>
  </si>
  <si>
    <t>Transferencias</t>
  </si>
  <si>
    <t>Transferencias (Institucionales)</t>
  </si>
  <si>
    <t>Servicios Personales</t>
  </si>
  <si>
    <t>Materiales y Suministros</t>
  </si>
  <si>
    <t>Servicios Generales</t>
  </si>
  <si>
    <t>Adq. de Bienes Muebles e Inm.</t>
  </si>
  <si>
    <t>Inversión Pública</t>
  </si>
  <si>
    <t>Unidad de Adquisiciones</t>
  </si>
  <si>
    <t>Remuneraciones al Personal</t>
  </si>
  <si>
    <t>Inst. Pro-Veteranos de la Rev. del Sur</t>
  </si>
  <si>
    <t>Com. Est. de Reservas Territoriales</t>
  </si>
  <si>
    <t>Consejo Estatal de Población</t>
  </si>
  <si>
    <t>Inst. Estatal de Protección Civil</t>
  </si>
  <si>
    <t xml:space="preserve">Gastos de Ejecución Agentes Fiscales </t>
  </si>
  <si>
    <t>INDETEC</t>
  </si>
  <si>
    <t>Proyectos Diversos</t>
  </si>
  <si>
    <t>Fideic.Fondo de Des.Emp.y Prom.de Inv.</t>
  </si>
  <si>
    <t>Comisión Est.de Mejora Regulatoria</t>
  </si>
  <si>
    <t>Ramo 33 (Proyectos Diversos)</t>
  </si>
  <si>
    <t xml:space="preserve">Fondo III FISE </t>
  </si>
  <si>
    <t>Colegio de Bachilleres</t>
  </si>
  <si>
    <t>Centro de Invest.y Docencia en Hum.</t>
  </si>
  <si>
    <t>Col.Nal.de Educ.Profesional Técnica</t>
  </si>
  <si>
    <t>Inst.Estatal de Documentación</t>
  </si>
  <si>
    <t>Universidad Autonoma del Edo.de Mor.</t>
  </si>
  <si>
    <t>Inst.Est.de Educación para Adultos</t>
  </si>
  <si>
    <t>Col.de Est.Científicos y Tecnológicos</t>
  </si>
  <si>
    <t>Universidad Tec.Emiliano Zapata</t>
  </si>
  <si>
    <t>Universidad Politécnica</t>
  </si>
  <si>
    <t>Instituto de Educación Básica IEBEM</t>
  </si>
  <si>
    <t>Coord.Est.del Subsist.de Prep.Abierta</t>
  </si>
  <si>
    <t>Prog. Becas Salario</t>
  </si>
  <si>
    <t>Prog.Esc.de Calidad (PEC) Morelos</t>
  </si>
  <si>
    <t>Programa de Equipamiento Escolar</t>
  </si>
  <si>
    <t>Libros de Secundaria</t>
  </si>
  <si>
    <t>Universidad Tecnológica del Sur</t>
  </si>
  <si>
    <t>Prima Antigüedad Maestros Jubilados</t>
  </si>
  <si>
    <t>Com.Est.de Arbitraje Médico</t>
  </si>
  <si>
    <t>Hospital del Niño Morelense</t>
  </si>
  <si>
    <t>Servicios de Salud de Morelos</t>
  </si>
  <si>
    <t>Reg.Est.de Protección Social en Salud</t>
  </si>
  <si>
    <t xml:space="preserve"> </t>
  </si>
  <si>
    <t>Dependencia/Organismo</t>
  </si>
  <si>
    <t>Progs. Fed.</t>
  </si>
  <si>
    <t xml:space="preserve">Gubernatura </t>
  </si>
  <si>
    <t xml:space="preserve">Sría. de Gobierno </t>
  </si>
  <si>
    <t xml:space="preserve">Sría. de Desarrollo Urbano y Obras Públicas </t>
  </si>
  <si>
    <t>Policia Industrial Bancaria y Auxiliar</t>
  </si>
  <si>
    <t>Industria Penitenciaria</t>
  </si>
  <si>
    <t>Colegio Estatal de Seguridad Pública</t>
  </si>
  <si>
    <t xml:space="preserve">Sría. de Salud </t>
  </si>
  <si>
    <t xml:space="preserve">Sría. de Educación </t>
  </si>
  <si>
    <t xml:space="preserve">Sría. de Turismo </t>
  </si>
  <si>
    <t>Sría. De Administración</t>
  </si>
  <si>
    <t xml:space="preserve">Obligaciones de Seguridad Social </t>
  </si>
  <si>
    <t>Instituto de Crédito</t>
  </si>
  <si>
    <t>Consejeria Juridica</t>
  </si>
  <si>
    <t>Fondo Reespondabilidad Patrimonial</t>
  </si>
  <si>
    <t xml:space="preserve">Instituto de la Mujer </t>
  </si>
  <si>
    <t xml:space="preserve">Tribunal Estatal de Conciliación y Arbitraje </t>
  </si>
  <si>
    <t xml:space="preserve">Instituto de Capacitación para el Trabajo </t>
  </si>
  <si>
    <t>Centro Morelense de las Artes</t>
  </si>
  <si>
    <t>Sría. de Innov. Ciencia y Tecnología</t>
  </si>
  <si>
    <t xml:space="preserve">Consejo Estatal de Ciencia y Tecnología </t>
  </si>
  <si>
    <t>Comisión Estatal de Agua</t>
  </si>
  <si>
    <t>Institucionales</t>
  </si>
  <si>
    <t xml:space="preserve">Estímulos por años de servicio </t>
  </si>
  <si>
    <t xml:space="preserve">Prima de antigüedad </t>
  </si>
  <si>
    <t xml:space="preserve">Ayuda para útiles escolares </t>
  </si>
  <si>
    <t xml:space="preserve">Ayuda para lentes </t>
  </si>
  <si>
    <t xml:space="preserve">Becas para hijos de trabajadores del Poder Ejecutivo </t>
  </si>
  <si>
    <t xml:space="preserve">Despensa mensual en especie </t>
  </si>
  <si>
    <t xml:space="preserve">Pago de marcha </t>
  </si>
  <si>
    <t xml:space="preserve">Ayuda para gastos funerarios </t>
  </si>
  <si>
    <t xml:space="preserve">Condiciones de Seguridad e higiene </t>
  </si>
  <si>
    <t xml:space="preserve">Sindicato del Poder Ejecutivo </t>
  </si>
  <si>
    <t xml:space="preserve">Jubilados </t>
  </si>
  <si>
    <t xml:space="preserve">Pensionados </t>
  </si>
  <si>
    <t>Vales de Despensa a Jubilados y Pensionados</t>
  </si>
  <si>
    <t xml:space="preserve">Tatas, Nana, Veteranos y Viudas de la Revolución </t>
  </si>
  <si>
    <t xml:space="preserve">Aportaciones sociales y ayudas económicas </t>
  </si>
  <si>
    <t>Provisión Salarial</t>
  </si>
  <si>
    <t>Finiquito Convenios por Juicios Laborales</t>
  </si>
  <si>
    <t>Prima de Retiro Voluntario</t>
  </si>
  <si>
    <t>Fondo VII FASP</t>
  </si>
  <si>
    <t>Fondo Responsabilidad Patrimonial</t>
  </si>
  <si>
    <t>Fideicomiso Lago de Tequesquitengo</t>
  </si>
  <si>
    <t>Comisión de Filmaciones del Edo.de Mor.</t>
  </si>
  <si>
    <t xml:space="preserve">Fideicomiso Turismo Morelos </t>
  </si>
  <si>
    <t>Fideicomiso World Trade Center</t>
  </si>
  <si>
    <t>Inst.del Deporte y Cultura Física</t>
  </si>
  <si>
    <t>Instituto Morelense de la Juventud</t>
  </si>
  <si>
    <t>Sist.para el Des.Integral de la Familia</t>
  </si>
  <si>
    <t>Tribunal Estatal de Conciliación y Arb.</t>
  </si>
  <si>
    <t>Instituto de Capacitación para el Trabajo</t>
  </si>
  <si>
    <t>Aportación a Programas Federales</t>
  </si>
  <si>
    <t>Centro Reg.de Innov.y Des.Artesanal</t>
  </si>
  <si>
    <t>Consejo Estatal de Ciencia y Tecnología</t>
  </si>
  <si>
    <t>Dependencia:Comisión Estatal de Agua y Medio Ambiente</t>
  </si>
  <si>
    <t>Prog.para la Protección y Conserv.del Medio Ambiente</t>
  </si>
  <si>
    <t>Inversión en Agua para los Altos de Morelos</t>
  </si>
  <si>
    <t>Dependencia:Instituto Estatal de Infraestructura Educativa</t>
  </si>
  <si>
    <t>Dependencia:Instituto de Vivienda del Estado de Morelos</t>
  </si>
  <si>
    <t>Vivienda Social</t>
  </si>
  <si>
    <t>Dependencia:Instituto Estatal del Registro Público de la Propiedad</t>
  </si>
  <si>
    <t>Modernización del Registro Público de la Propiedad</t>
  </si>
  <si>
    <t>Dependencia Ejecutora</t>
  </si>
  <si>
    <t>Sría. de la Contraloría</t>
  </si>
  <si>
    <t>Participaciones y Aportaciones a Municipios</t>
  </si>
  <si>
    <t>Participaciones</t>
  </si>
  <si>
    <t>Imp Esp S Prod y Serv IEPS</t>
  </si>
  <si>
    <t>Imp s Tenencia o Uso de Veh. TUV</t>
  </si>
  <si>
    <t>Impuesto S Aut Nuevos ISAN</t>
  </si>
  <si>
    <t>Fondo de Fiscalizacón</t>
  </si>
  <si>
    <t>Cuota Vta Final de Combustibles</t>
  </si>
  <si>
    <t>Ramo 20 Desarrollo Social</t>
  </si>
  <si>
    <t>Ramo 33 Aport Fed para Entidades Federativas y Municipios</t>
  </si>
  <si>
    <t>F III FISM</t>
  </si>
  <si>
    <t>F IV FAFM</t>
  </si>
  <si>
    <t>TOTAL</t>
  </si>
  <si>
    <t>BANCOMER REG. EST. 005/2011</t>
  </si>
  <si>
    <t>BANCOMER (Carretera Siglo XXI)</t>
  </si>
  <si>
    <t>BANAMEX</t>
  </si>
  <si>
    <t xml:space="preserve">Servicio </t>
  </si>
  <si>
    <t>Amortización</t>
  </si>
  <si>
    <t>BANCOMER (CPS CEAMA)</t>
  </si>
  <si>
    <t>OTROS GASTOS</t>
  </si>
  <si>
    <t>Calificadoras</t>
  </si>
  <si>
    <t>Honorarios Fideicomiso</t>
  </si>
  <si>
    <t>Secretaría de Gobierno</t>
  </si>
  <si>
    <t>Secretaría de Hacienda</t>
  </si>
  <si>
    <t>Secretaría de Economía</t>
  </si>
  <si>
    <t>Secretaría de  Desarrollo Agropecuario</t>
  </si>
  <si>
    <t>Secretaría de Educación</t>
  </si>
  <si>
    <t>Consejo Ciudadano para la Seguridad P</t>
  </si>
  <si>
    <t>Secretaría de Seguridad Pública</t>
  </si>
  <si>
    <t xml:space="preserve">Secretaría de Turismo </t>
  </si>
  <si>
    <t xml:space="preserve">Secretaría de Desarrollo Social </t>
  </si>
  <si>
    <t>Secretaría del Trabajo</t>
  </si>
  <si>
    <t>Secretaría de Cultura</t>
  </si>
  <si>
    <t>Secretaría de Desarrollo Sustentable</t>
  </si>
  <si>
    <t>Secretaría de Información y Comunicación</t>
  </si>
  <si>
    <t>Secretaría de Innovación Ciencia y Tecnología</t>
  </si>
  <si>
    <t>Secretaría de Movilidad y Transporte</t>
  </si>
  <si>
    <t>Secretaría de Obras Públicas</t>
  </si>
  <si>
    <t xml:space="preserve">Extraordinarias y Complementarias </t>
  </si>
  <si>
    <t>Fondo de Comp y el Empleo FIDECOMP</t>
  </si>
  <si>
    <t>Secretaría de Salud</t>
  </si>
  <si>
    <t>Secretaría de Administración</t>
  </si>
  <si>
    <t>Secretaría de la Contraloría</t>
  </si>
  <si>
    <t>Adquisisción de Placas</t>
  </si>
  <si>
    <t>Instituto de Infraestructura Educat.</t>
  </si>
  <si>
    <t>Anexo 1</t>
  </si>
  <si>
    <t xml:space="preserve">Provisión para el Sector Salud </t>
  </si>
  <si>
    <t>Anexo 2</t>
  </si>
  <si>
    <t>Anexo 3</t>
  </si>
  <si>
    <t>Anexo 4</t>
  </si>
  <si>
    <t>Anexo 5</t>
  </si>
  <si>
    <t>Anexo 6</t>
  </si>
  <si>
    <t>Anexo 7</t>
  </si>
  <si>
    <t>EGRESOS  2013</t>
  </si>
  <si>
    <t>Anexo 8</t>
  </si>
  <si>
    <t>Anexo 9</t>
  </si>
  <si>
    <t>Anexo 10</t>
  </si>
  <si>
    <t>NIVEL</t>
  </si>
  <si>
    <t>NOMBRAMIENTO</t>
  </si>
  <si>
    <t>CATEGORÍA</t>
  </si>
  <si>
    <t>PERCEPCIÓN MENSUAL NETA</t>
  </si>
  <si>
    <t>GOBERNADOR</t>
  </si>
  <si>
    <t>ÚNICA</t>
  </si>
  <si>
    <t>SECRETARIO DE GOBIERNO</t>
  </si>
  <si>
    <t>SECRETARIO
SECRETARIO TÉCNICO</t>
  </si>
  <si>
    <t>COORDINADOR GENERAL</t>
  </si>
  <si>
    <t>SUBSECRETARIO 
COORDINADOR 
ASESOR "A"
SECRETARIO EJECUTIVO
JEFE DE UNIDAD</t>
  </si>
  <si>
    <t>A</t>
  </si>
  <si>
    <t>B</t>
  </si>
  <si>
    <t>C</t>
  </si>
  <si>
    <t>DIRECTOR GENERAL 
ASESOR "B"
PROFESIONISTA ESPECIALIZADO</t>
  </si>
  <si>
    <t>COORDINADOR DE ÁREA 
ASESOR "C" 
SECRETARIO PARTICULAR 
PROFESIONISTA "A"</t>
  </si>
  <si>
    <t>DIRECTOR DE ÁREA
 ASISTENTE "A"
 PROFESIONISTA "B"</t>
  </si>
  <si>
    <t>SUBDIRECTOR
TÉCNICO PROFESIONAL
 ASISTENTE "B"</t>
  </si>
  <si>
    <t>JEFE DE DEPARTAMENTO 
AUXILIAR TÉCNICO
AUXILIAR ADMINISTRATIVO</t>
  </si>
  <si>
    <t>Tabulador de Sueldos</t>
  </si>
  <si>
    <t>Anexo 11</t>
  </si>
  <si>
    <t xml:space="preserve">Sindicalizados Vales de Despensa </t>
  </si>
  <si>
    <t xml:space="preserve">Homologacion Salarial y despensa  </t>
  </si>
  <si>
    <t>a Jubilados</t>
  </si>
  <si>
    <t>Importe</t>
  </si>
  <si>
    <t>Impuesto sobre Demasías Caducas</t>
  </si>
  <si>
    <t>Servicios en materia de cultura</t>
  </si>
  <si>
    <t>Presupuesto de Egresos 2014</t>
  </si>
  <si>
    <t>INGRESOS</t>
  </si>
  <si>
    <t>Propios</t>
  </si>
  <si>
    <t>Participaciones Federales R 28</t>
  </si>
  <si>
    <t>Aportaciones Federales R 33</t>
  </si>
  <si>
    <t>Convenios</t>
  </si>
  <si>
    <t>Instituto Morelense de Radio y Televisión</t>
  </si>
  <si>
    <t>Secretariado Ejecutivo</t>
  </si>
  <si>
    <t>Proyectos Culturales</t>
  </si>
  <si>
    <t>BANOBRAS (PROFISE)</t>
  </si>
  <si>
    <t>BANOBRAS (FAFEF)</t>
  </si>
  <si>
    <t>BANOBRAS (FISE)</t>
  </si>
  <si>
    <t xml:space="preserve"> FINANCIAMIENTO 2013</t>
  </si>
  <si>
    <t>Ramo 28</t>
  </si>
  <si>
    <t xml:space="preserve"> INGRESOS MENOS EGRESOS</t>
  </si>
  <si>
    <t>Ingresos Totales (Ley de Ingresos 2014)</t>
  </si>
  <si>
    <t>Ingresos Propios (Ley de Ingresos 2014)</t>
  </si>
  <si>
    <t>Presupuesto 2014</t>
  </si>
  <si>
    <t xml:space="preserve">Total </t>
  </si>
  <si>
    <t>Centro Regional de Innovación y Des. Artesanal</t>
  </si>
  <si>
    <t>Comision de Desarrollo e Inf.</t>
  </si>
  <si>
    <t>Org Operador de Carreteras</t>
  </si>
  <si>
    <t>EGRESOS</t>
  </si>
  <si>
    <t>Presupuesto  2014</t>
  </si>
  <si>
    <t xml:space="preserve">Inst. de Serv Registrales y Catastrales </t>
  </si>
  <si>
    <t>Inst.Morelense para el Financ. Del Sector Productivo</t>
  </si>
  <si>
    <t xml:space="preserve">Proyectos Productivos </t>
  </si>
  <si>
    <t>Alberge para Mujeres</t>
  </si>
  <si>
    <t>Instituto de Crédito (pasivo)</t>
  </si>
  <si>
    <t>Sría. de Movilidad y Transporte</t>
  </si>
  <si>
    <t>Institución</t>
  </si>
  <si>
    <t>Anexo 12</t>
  </si>
  <si>
    <t xml:space="preserve">Clasificación por Objeto del Gasto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</si>
  <si>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</si>
  <si>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</si>
  <si>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</si>
  <si>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</si>
  <si>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</si>
  <si>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</si>
  <si>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</si>
  <si>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</si>
  <si>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</si>
  <si>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</si>
  <si>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</si>
  <si>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</si>
  <si>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</si>
  <si>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</si>
  <si>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</si>
  <si>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</si>
  <si>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</si>
  <si>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</si>
  <si>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</si>
  <si>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</si>
  <si>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</si>
  <si>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</si>
  <si>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</si>
  <si>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</si>
  <si>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</si>
  <si>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</si>
  <si>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</si>
  <si>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</si>
  <si>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</si>
  <si>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</si>
  <si>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</si>
  <si>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</si>
  <si>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</si>
  <si>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</si>
  <si>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</si>
  <si>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</si>
  <si>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</si>
  <si>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</si>
  <si>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</si>
  <si>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</si>
  <si>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</si>
  <si>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</si>
  <si>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</si>
  <si>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</si>
  <si>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</si>
  <si>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</si>
  <si>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</si>
  <si>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</si>
  <si>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</si>
  <si>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</si>
  <si>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</si>
  <si>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</si>
  <si>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</si>
  <si>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</si>
  <si>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</si>
  <si>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</si>
  <si>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</si>
  <si>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</si>
  <si>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</si>
  <si>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</si>
  <si>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</si>
  <si>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</si>
  <si>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</si>
  <si>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Anexo 13</t>
  </si>
  <si>
    <t>Clasificación Administrativa</t>
  </si>
  <si>
    <t>Organos Autónomos</t>
  </si>
  <si>
    <t>Otras Entidades Paraestatales y organismos</t>
  </si>
  <si>
    <t>Poder legislativo</t>
  </si>
  <si>
    <t>Homologacion Salarial y despensa   a jubiliados</t>
  </si>
  <si>
    <t>Anexo 14</t>
  </si>
  <si>
    <t>Clasificación Funcional del Gasto</t>
  </si>
  <si>
    <t xml:space="preserve">Gobierno </t>
  </si>
  <si>
    <t>Desarrollo social</t>
  </si>
  <si>
    <t>Desarrollo Económico</t>
  </si>
  <si>
    <t>Otras no clasificadas en funciones anteriores</t>
  </si>
  <si>
    <t>Anexo 15</t>
  </si>
  <si>
    <t>Clasificación por Tipo de Gasto</t>
  </si>
  <si>
    <t>Amortizacion de la deuda y disminucion de pasivos</t>
  </si>
  <si>
    <t>Fondo de Seguridad P Municipal</t>
  </si>
  <si>
    <t>Atención oncológica</t>
  </si>
  <si>
    <t>Centro Ecoturistico del Cerro del Chumil</t>
  </si>
  <si>
    <t>Jantetelco</t>
  </si>
  <si>
    <t>Centro Ecoturistico Totlan</t>
  </si>
  <si>
    <t>Huitzilac</t>
  </si>
  <si>
    <t>Centro Ecoturistico San Jose de los Laureles</t>
  </si>
  <si>
    <t>Tlayacapan</t>
  </si>
  <si>
    <t>Centro Ecoturistico del Parque de los Venados</t>
  </si>
  <si>
    <t>Totolapan</t>
  </si>
  <si>
    <t>Centro Ecoturistico Amatlan</t>
  </si>
  <si>
    <t>Tepoztlan</t>
  </si>
  <si>
    <t>Centro Ecoturistico Indigena</t>
  </si>
  <si>
    <t>Temixco</t>
  </si>
  <si>
    <t>Centro Ecoturistico de la Sierra de Huautla</t>
  </si>
  <si>
    <t>Tlaquiltenango</t>
  </si>
  <si>
    <t>Reconstruccion de Cuexcomates</t>
  </si>
  <si>
    <t>Temoac</t>
  </si>
  <si>
    <t>Campamento de Zapata Difusion Promocion y Señaletica Externa</t>
  </si>
  <si>
    <t>Comunidad de Chimalcatlan Difusion, Promocion y Señaletica externa</t>
  </si>
  <si>
    <t>Zona Arqueologica de Chalcatzingo</t>
  </si>
  <si>
    <t>Ex Hacienda de Ixtoluca Difusion, Promocion y Señaletica Externa</t>
  </si>
  <si>
    <t>Tribunal Electoral</t>
  </si>
  <si>
    <t>Proyectos Productivos par Mujeres Emprendedoras</t>
  </si>
  <si>
    <t>Proyecto Productivo Artesanal Amayuca</t>
  </si>
  <si>
    <t>Instrumentos Musicales a Grupo de Jovenes Organizados</t>
  </si>
  <si>
    <t>Tepalcingo,Jantetelco,Axochiapan,Jonacatepec y Temoac</t>
  </si>
  <si>
    <t xml:space="preserve">Techumbres </t>
  </si>
  <si>
    <t>Puente de Ixtla</t>
  </si>
  <si>
    <t xml:space="preserve">Techumbre Escuela Secundaria Jose Maria Morelos </t>
  </si>
  <si>
    <t>Amacuzac</t>
  </si>
  <si>
    <t>Universidad Tecnologica del Sur (Equipo de Laboratorio)</t>
  </si>
  <si>
    <t>Infraestructura para Sistemas de Agua Potable</t>
  </si>
  <si>
    <t>Eventos Culturales y de Difusion Artesanal</t>
  </si>
  <si>
    <t>Todo el Estado</t>
  </si>
  <si>
    <t>Sría. de Desarrollo Agropuecuario</t>
  </si>
  <si>
    <t>Apoyo a los Viveristas de la Organización para el Desarrollo Social de Jiutepec</t>
  </si>
  <si>
    <t>Jiutepec</t>
  </si>
  <si>
    <t>Cuautla</t>
  </si>
  <si>
    <t xml:space="preserve">Obra Publica </t>
  </si>
  <si>
    <t>Xochitepec, Miacatlan, Mazatepec, Tetecala y Coatlan del Rio</t>
  </si>
  <si>
    <t xml:space="preserve">Proyectos productivos </t>
  </si>
  <si>
    <t>Yautepec</t>
  </si>
  <si>
    <t>Mantenimiento COBAEM plantel 03 Oacalco</t>
  </si>
  <si>
    <t>Mantenimiento Escuela Secundaria Ignacio Manuel Altamirano</t>
  </si>
  <si>
    <t xml:space="preserve">Mantenimiento Escuela Secundaria Moises Sainz </t>
  </si>
  <si>
    <t>Mantenimiento Escuela Secundaria Jesus Conde Rodriguez</t>
  </si>
  <si>
    <t>Programa de Incentivos a Promotores Culturales</t>
  </si>
  <si>
    <t>Aula y Modulo de Sanitario en EMSAD 04 Chinameca</t>
  </si>
  <si>
    <t>Ayala</t>
  </si>
  <si>
    <t>Universidad Politecnica Proyectos Anuales</t>
  </si>
  <si>
    <t>Secretaria de Desarrollo Sustentable</t>
  </si>
  <si>
    <t>Instituto del Deporte</t>
  </si>
  <si>
    <t>Zacualpan</t>
  </si>
  <si>
    <t xml:space="preserve">Mantenimiento y Equipamiento EMSAD Tlacotepec </t>
  </si>
  <si>
    <t>Mantenimiento y Equipamiento EMSAD Jumiltepec</t>
  </si>
  <si>
    <t>Ocuituco</t>
  </si>
  <si>
    <t>Mantenimiento y Equipamiento EMSAD Hueyapan</t>
  </si>
  <si>
    <t>Tetela del Volcan</t>
  </si>
  <si>
    <t>Yecapixtla</t>
  </si>
  <si>
    <t xml:space="preserve">Mantenimiento y Equipamiento CECyTE </t>
  </si>
  <si>
    <t xml:space="preserve">Proyectos Productivos de Servicios y Culturales para la Comunidad Indigena de Tetelcingo y Asentamientos Indigenas </t>
  </si>
  <si>
    <t>Mejoramiento de Infraestructura del Centro de Salud Cuauhtemoc</t>
  </si>
  <si>
    <t xml:space="preserve">Mejoramiento de Infraestructura del Centro de Salud Peña Flores </t>
  </si>
  <si>
    <t>Mejoramiento de Infraestructura del Centro de Salud Cuautlixco</t>
  </si>
  <si>
    <t>Equipamiento y Apoyo Tecnologico para los ejidos de Cuautlixco y Tetelcingo</t>
  </si>
  <si>
    <t>Proyectos de Inovacion Cinecia y Tencologia. Instituto Tecnologico de Cuautla</t>
  </si>
  <si>
    <t>Proyectos Culturales para Jovenes</t>
  </si>
  <si>
    <t>Albergue para la Mujer</t>
  </si>
  <si>
    <t>IMIPE Proyectos Anuales</t>
  </si>
  <si>
    <t>Regularizacion Salaria Auxiliar Tecnicos Forenses</t>
  </si>
  <si>
    <t>Casa de la Cultura Municipales</t>
  </si>
  <si>
    <t>Instrumentos Musicales para Casas de la Cultura y Grupos Culturales Municipales</t>
  </si>
  <si>
    <t>Zacatepec</t>
  </si>
  <si>
    <t xml:space="preserve">Cancha de Futbol Escuela Secundaria No. 4 de Ciudad Azteca </t>
  </si>
  <si>
    <t>Cancha de Futbol Rapido Escuela Secundaria 2 de Abril de Acatlipa</t>
  </si>
  <si>
    <t>Arco Techo, Pavimentacion y Adoquinado  Centro de Salud de Acatlipa</t>
  </si>
  <si>
    <t>Jojutla</t>
  </si>
  <si>
    <t>Obras de Mejoras Centro de Salud Pueblo Viejo</t>
  </si>
  <si>
    <t>Festival Estatal de la Noche Buena</t>
  </si>
  <si>
    <t>Festival Sabor es Morelos</t>
  </si>
  <si>
    <t>Sala y equipo de Computo para la Preparatoria Jojutla</t>
  </si>
  <si>
    <t>Ambulancia para el Centro de Salud de Huautla</t>
  </si>
  <si>
    <t xml:space="preserve">Cuernavaca </t>
  </si>
  <si>
    <t>Infraestructura y Equipamiento para el Poder Judicial</t>
  </si>
  <si>
    <t xml:space="preserve">Proyecto Produccion de Huevo Organico </t>
  </si>
  <si>
    <t>Proyectos productivos para el Campo</t>
  </si>
  <si>
    <t xml:space="preserve">Universidad Tecnologica Emiliano Zapata  </t>
  </si>
  <si>
    <t xml:space="preserve">Techumbre Escuela Primaria Union de las Americas Santa Maria </t>
  </si>
  <si>
    <t>Techumbre Escuela Federico COUDED colonia Altavista</t>
  </si>
  <si>
    <t>Techumbre Escuela Primaria Cuauhtemoc colonia Chamilpa</t>
  </si>
  <si>
    <t>Barda Perimetral UTEZ</t>
  </si>
  <si>
    <t>Zapata</t>
  </si>
  <si>
    <t>Barda Perimetral CECyTE</t>
  </si>
  <si>
    <t>Anexo 16</t>
  </si>
  <si>
    <t>Monto</t>
  </si>
  <si>
    <t>Sector / Obra o acción</t>
  </si>
  <si>
    <t>Instituto Morelense de la Juventud Programa de Jovenes Emprendedores</t>
  </si>
  <si>
    <t>Ubicación</t>
  </si>
  <si>
    <t>Reparación techo del H. Congreso del Estado</t>
  </si>
  <si>
    <t>Finiquitos laborales Poder Legislativo</t>
  </si>
  <si>
    <t>Proyectos Productivos para Mujeres Emprendedoras</t>
  </si>
  <si>
    <t>Pavimentacion de la Calle Av. Cañaveral Colonia 3 de Mayo</t>
  </si>
  <si>
    <t xml:space="preserve">Mastógrafo Centro de Salud </t>
  </si>
  <si>
    <t>Centro de Salud programa de mejoras</t>
  </si>
  <si>
    <t>Rehabilitacion y Remodelacion de las Instalaciones del  USAER y apoyo a Personas con Discapacidad</t>
  </si>
  <si>
    <t xml:space="preserve">Apoyo a la Organización de Ex Obreros y Viudas del Ingenio Emiliano Zapata </t>
  </si>
  <si>
    <t>Apoyos a los Ex Trabajadores del Ingenio Emiliano Zapata "Tierra y Libertad"</t>
  </si>
  <si>
    <t>Equipamiento para los Programas de Salud de la Mujer H. Meana San Roman</t>
  </si>
  <si>
    <t>Tepalcingo, Jantetelco, Axochiapan, Jonacatepec y Temoac</t>
  </si>
  <si>
    <t>Equipo Medico para Hospital Comunitario</t>
  </si>
  <si>
    <t>Tribunal de Justicia para Adolescentes. Nuevo Modelo de Rehabilitación</t>
  </si>
  <si>
    <t>Instituto Morelense de la Juventud. Proyectos anuales</t>
  </si>
  <si>
    <t>Comision de Derechos Humanos Proyectos anuales</t>
  </si>
  <si>
    <t>Proyectos y Acciones Incluidas en el Presupuesto de 
Egresos del Ejercicio Fiscal 2014</t>
  </si>
  <si>
    <t>Reiserción Social</t>
  </si>
  <si>
    <t>Reiserción Social (Reclusorios)</t>
  </si>
  <si>
    <t>CEMPLA Nuevo Modelos de Rehabilitación</t>
  </si>
  <si>
    <t>Comisión Estatal de Derechos Humanos (proyectos anuales)</t>
  </si>
  <si>
    <t>Asignación adicional</t>
  </si>
  <si>
    <t>Complemento a Prerrogativas a Partidos Políticos</t>
  </si>
  <si>
    <t>Ajustes adicionales</t>
  </si>
  <si>
    <t>Instituto del Deporte (Proyectos deportivos)</t>
  </si>
  <si>
    <t>Instituto de la Juventud (Proyectos diversos)</t>
  </si>
  <si>
    <t>Proyectos anuales del IMIPE</t>
  </si>
  <si>
    <t>Fondo de Auxilio a Víctimas</t>
  </si>
  <si>
    <t>Regularización Salarial Auxiliares Técnicos Forenses</t>
  </si>
  <si>
    <t>Complemento de gasto de Funcionamiento</t>
  </si>
  <si>
    <t>Apoyo a extrabajadores del Ingenio Emiliano Zapata de Zacatepec agrupación "Tierra y Libertad"</t>
  </si>
  <si>
    <t xml:space="preserve">Apoyo a extrabajadores del Ingenio Emiliano Zapata de Zacatepec </t>
  </si>
  <si>
    <t>Ambulancia para el Centro de salud de Huautla</t>
  </si>
  <si>
    <t>Infraestructura y Equipamiento</t>
  </si>
  <si>
    <t>H. Congreso del Estado (reparación del techo)</t>
  </si>
  <si>
    <t>Finiquitos laborales</t>
  </si>
  <si>
    <t xml:space="preserve">Recuperaciones Diversas </t>
  </si>
  <si>
    <t>Recuperaciones Diversas</t>
  </si>
  <si>
    <t>Atención a la Salud Mental</t>
  </si>
  <si>
    <t>Fortalecimiento a la atención primaria en Centros de Salud</t>
  </si>
  <si>
    <t>Fortalecimiento a programas preventivos incluyendo dengue</t>
  </si>
  <si>
    <t>Prevención y atención a enfermos de VIH</t>
  </si>
  <si>
    <t>Procuraduria</t>
  </si>
  <si>
    <t>Fondo de Seguridad Publica Municipal</t>
  </si>
  <si>
    <t>Complemento Gasto de Funcionamiento Procuraduria General de justicia</t>
  </si>
  <si>
    <t>Fondo de Auxilio a Victimas</t>
  </si>
  <si>
    <t>Parque San Miguel Acaptzingo</t>
  </si>
  <si>
    <t>Cuotas Escolares</t>
  </si>
  <si>
    <t>Contingencias  (Desastres Naturales)</t>
  </si>
  <si>
    <t xml:space="preserve">Asociacion Civil Estaban Cerdan Apaez </t>
  </si>
  <si>
    <t>Mobiliario y Equipo de Administracion</t>
  </si>
  <si>
    <t>Mobiliario y Equipo Educacional y 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</si>
</sst>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_-;\-* #,##0.00000000_-;_-* &quot;-&quot;_-;_-@_-"/>
    <numFmt numFmtId="165" formatCode="_-* #,##0_-;\-* #,##0_-;_-* &quot;-&quot;??_-;_-@_-"/>
    <numFmt numFmtId="166" formatCode="0.0%"/>
  </numFmts>
  <fonts count="4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color indexed="10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A2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1D6"/>
        <bgColor indexed="64"/>
      </patternFill>
    </fill>
    <fill>
      <patternFill patternType="solid">
        <fgColor rgb="FFC99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96" applyNumberFormat="0" applyAlignment="0" applyProtection="0"/>
    <xf numFmtId="0" fontId="28" fillId="26" borderId="97" applyNumberFormat="0" applyAlignment="0" applyProtection="0"/>
    <xf numFmtId="0" fontId="29" fillId="0" borderId="98" applyNumberFormat="0" applyFill="0" applyAlignment="0" applyProtection="0"/>
    <xf numFmtId="0" fontId="3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1" fillId="33" borderId="96" applyNumberFormat="0" applyAlignment="0" applyProtection="0"/>
    <xf numFmtId="0" fontId="2" fillId="0" borderId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37" fontId="3" fillId="0" borderId="0"/>
    <xf numFmtId="0" fontId="3" fillId="0" borderId="0"/>
    <xf numFmtId="0" fontId="1" fillId="36" borderId="99" applyNumberFormat="0" applyFont="0" applyAlignment="0" applyProtection="0"/>
    <xf numFmtId="9" fontId="2" fillId="0" borderId="0" applyFont="0" applyFill="0" applyBorder="0" applyAlignment="0" applyProtection="0"/>
    <xf numFmtId="0" fontId="34" fillId="25" borderId="10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1" applyNumberFormat="0" applyFill="0" applyAlignment="0" applyProtection="0"/>
    <xf numFmtId="0" fontId="39" fillId="0" borderId="102" applyNumberFormat="0" applyFill="0" applyAlignment="0" applyProtection="0"/>
    <xf numFmtId="0" fontId="30" fillId="0" borderId="103" applyNumberFormat="0" applyFill="0" applyAlignment="0" applyProtection="0"/>
    <xf numFmtId="0" fontId="40" fillId="0" borderId="104" applyNumberFormat="0" applyFill="0" applyAlignment="0" applyProtection="0"/>
    <xf numFmtId="43" fontId="1" fillId="0" borderId="0" applyFont="0" applyFill="0" applyBorder="0" applyAlignment="0" applyProtection="0"/>
  </cellStyleXfs>
  <cellXfs count="939">
    <xf numFmtId="0" fontId="0" fillId="0" borderId="0" xfId="0"/>
    <xf numFmtId="0" fontId="14" fillId="0" borderId="0" xfId="0" applyFont="1"/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1" fontId="0" fillId="0" borderId="0" xfId="0" applyNumberFormat="1"/>
    <xf numFmtId="41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7" fillId="0" borderId="14" xfId="35" applyFont="1" applyFill="1" applyBorder="1" applyAlignment="1">
      <alignment horizontal="left" vertical="center"/>
    </xf>
    <xf numFmtId="41" fontId="17" fillId="0" borderId="14" xfId="0" applyNumberFormat="1" applyFont="1" applyFill="1" applyBorder="1" applyAlignment="1">
      <alignment vertical="center"/>
    </xf>
    <xf numFmtId="41" fontId="17" fillId="0" borderId="15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7" fillId="0" borderId="14" xfId="35" applyFont="1" applyFill="1" applyBorder="1" applyAlignment="1">
      <alignment vertical="center"/>
    </xf>
    <xf numFmtId="0" fontId="18" fillId="0" borderId="14" xfId="35" applyFont="1" applyFill="1" applyBorder="1" applyAlignment="1">
      <alignment vertical="center"/>
    </xf>
    <xf numFmtId="0" fontId="12" fillId="0" borderId="0" xfId="0" applyFont="1"/>
    <xf numFmtId="41" fontId="7" fillId="0" borderId="21" xfId="34" applyNumberFormat="1" applyFont="1" applyFill="1" applyBorder="1" applyProtection="1">
      <protection locked="0"/>
    </xf>
    <xf numFmtId="41" fontId="7" fillId="0" borderId="22" xfId="34" applyNumberFormat="1" applyFont="1" applyFill="1" applyBorder="1" applyProtection="1">
      <protection locked="0"/>
    </xf>
    <xf numFmtId="41" fontId="7" fillId="0" borderId="21" xfId="34" applyNumberFormat="1" applyFont="1" applyFill="1" applyBorder="1"/>
    <xf numFmtId="41" fontId="7" fillId="0" borderId="22" xfId="34" applyNumberFormat="1" applyFont="1" applyFill="1" applyBorder="1"/>
    <xf numFmtId="41" fontId="5" fillId="0" borderId="13" xfId="34" applyNumberFormat="1" applyFont="1" applyFill="1" applyBorder="1" applyAlignment="1">
      <alignment horizontal="center" vertical="center"/>
    </xf>
    <xf numFmtId="41" fontId="5" fillId="0" borderId="14" xfId="34" applyNumberFormat="1" applyFont="1" applyFill="1" applyBorder="1" applyAlignment="1">
      <alignment horizontal="center" vertical="center"/>
    </xf>
    <xf numFmtId="41" fontId="5" fillId="0" borderId="14" xfId="34" applyNumberFormat="1" applyFont="1" applyFill="1" applyBorder="1" applyAlignment="1">
      <alignment vertical="center"/>
    </xf>
    <xf numFmtId="41" fontId="5" fillId="0" borderId="21" xfId="34" applyNumberFormat="1" applyFont="1" applyFill="1" applyBorder="1" applyAlignment="1">
      <alignment vertical="center"/>
    </xf>
    <xf numFmtId="41" fontId="5" fillId="0" borderId="22" xfId="34" applyNumberFormat="1" applyFont="1" applyFill="1" applyBorder="1" applyAlignment="1">
      <alignment vertical="center"/>
    </xf>
    <xf numFmtId="37" fontId="3" fillId="0" borderId="0" xfId="34" applyNumberFormat="1" applyFont="1" applyFill="1" applyBorder="1" applyAlignment="1" applyProtection="1"/>
    <xf numFmtId="41" fontId="5" fillId="2" borderId="30" xfId="34" applyNumberFormat="1" applyFont="1" applyFill="1" applyBorder="1" applyAlignment="1">
      <alignment horizontal="center"/>
    </xf>
    <xf numFmtId="41" fontId="5" fillId="2" borderId="31" xfId="34" applyNumberFormat="1" applyFont="1" applyFill="1" applyBorder="1"/>
    <xf numFmtId="41" fontId="5" fillId="2" borderId="32" xfId="34" applyNumberFormat="1" applyFont="1" applyFill="1" applyBorder="1"/>
    <xf numFmtId="41" fontId="5" fillId="2" borderId="33" xfId="34" applyNumberFormat="1" applyFont="1" applyFill="1" applyBorder="1"/>
    <xf numFmtId="41" fontId="7" fillId="0" borderId="34" xfId="34" applyNumberFormat="1" applyFont="1" applyFill="1" applyBorder="1"/>
    <xf numFmtId="41" fontId="7" fillId="0" borderId="9" xfId="34" applyNumberFormat="1" applyFont="1" applyFill="1" applyBorder="1"/>
    <xf numFmtId="41" fontId="7" fillId="0" borderId="9" xfId="34" applyNumberFormat="1" applyFont="1" applyFill="1" applyBorder="1" applyProtection="1">
      <protection locked="0"/>
    </xf>
    <xf numFmtId="37" fontId="17" fillId="0" borderId="35" xfId="34" applyFont="1" applyFill="1" applyBorder="1" applyAlignment="1">
      <alignment horizontal="right"/>
    </xf>
    <xf numFmtId="41" fontId="7" fillId="0" borderId="37" xfId="34" applyNumberFormat="1" applyFont="1" applyFill="1" applyBorder="1" applyProtection="1">
      <protection locked="0"/>
    </xf>
    <xf numFmtId="41" fontId="7" fillId="0" borderId="38" xfId="34" applyNumberFormat="1" applyFont="1" applyFill="1" applyBorder="1"/>
    <xf numFmtId="37" fontId="17" fillId="0" borderId="10" xfId="34" applyFont="1" applyFill="1" applyBorder="1" applyAlignment="1">
      <alignment horizontal="right"/>
    </xf>
    <xf numFmtId="37" fontId="7" fillId="0" borderId="10" xfId="34" applyFont="1" applyFill="1" applyBorder="1"/>
    <xf numFmtId="41" fontId="7" fillId="0" borderId="38" xfId="34" applyNumberFormat="1" applyFont="1" applyFill="1" applyBorder="1" applyAlignment="1">
      <alignment wrapText="1"/>
    </xf>
    <xf numFmtId="41" fontId="7" fillId="0" borderId="9" xfId="34" applyNumberFormat="1" applyFont="1" applyFill="1" applyBorder="1" applyAlignment="1">
      <alignment wrapText="1"/>
    </xf>
    <xf numFmtId="41" fontId="7" fillId="0" borderId="41" xfId="34" applyNumberFormat="1" applyFont="1" applyFill="1" applyBorder="1" applyProtection="1">
      <protection locked="0"/>
    </xf>
    <xf numFmtId="41" fontId="5" fillId="2" borderId="42" xfId="34" applyNumberFormat="1" applyFont="1" applyFill="1" applyBorder="1" applyProtection="1">
      <protection locked="0"/>
    </xf>
    <xf numFmtId="41" fontId="5" fillId="2" borderId="43" xfId="34" applyNumberFormat="1" applyFont="1" applyFill="1" applyBorder="1" applyProtection="1">
      <protection locked="0"/>
    </xf>
    <xf numFmtId="41" fontId="7" fillId="0" borderId="44" xfId="34" applyNumberFormat="1" applyFont="1" applyFill="1" applyBorder="1"/>
    <xf numFmtId="41" fontId="7" fillId="0" borderId="44" xfId="34" applyNumberFormat="1" applyFont="1" applyFill="1" applyBorder="1" applyProtection="1">
      <protection locked="0"/>
    </xf>
    <xf numFmtId="37" fontId="7" fillId="0" borderId="44" xfId="34" applyFont="1" applyFill="1" applyBorder="1"/>
    <xf numFmtId="37" fontId="7" fillId="0" borderId="21" xfId="34" applyFont="1" applyFill="1" applyBorder="1"/>
    <xf numFmtId="41" fontId="7" fillId="0" borderId="38" xfId="34" applyNumberFormat="1" applyFont="1" applyFill="1" applyBorder="1" applyAlignment="1">
      <alignment vertical="center" wrapText="1"/>
    </xf>
    <xf numFmtId="41" fontId="7" fillId="0" borderId="21" xfId="34" applyNumberFormat="1" applyFont="1" applyFill="1" applyBorder="1" applyAlignment="1">
      <alignment vertical="center" wrapText="1"/>
    </xf>
    <xf numFmtId="41" fontId="7" fillId="0" borderId="21" xfId="34" applyNumberFormat="1" applyFont="1" applyFill="1" applyBorder="1" applyAlignment="1">
      <alignment wrapText="1"/>
    </xf>
    <xf numFmtId="41" fontId="7" fillId="3" borderId="40" xfId="34" applyNumberFormat="1" applyFont="1" applyFill="1" applyBorder="1"/>
    <xf numFmtId="41" fontId="7" fillId="3" borderId="46" xfId="34" applyNumberFormat="1" applyFont="1" applyFill="1" applyBorder="1"/>
    <xf numFmtId="41" fontId="7" fillId="3" borderId="46" xfId="34" applyNumberFormat="1" applyFont="1" applyFill="1" applyBorder="1" applyProtection="1">
      <protection locked="0"/>
    </xf>
    <xf numFmtId="37" fontId="7" fillId="3" borderId="46" xfId="34" applyFont="1" applyFill="1" applyBorder="1"/>
    <xf numFmtId="41" fontId="7" fillId="3" borderId="41" xfId="34" applyNumberFormat="1" applyFont="1" applyFill="1" applyBorder="1" applyProtection="1">
      <protection locked="0"/>
    </xf>
    <xf numFmtId="41" fontId="7" fillId="0" borderId="34" xfId="34" applyNumberFormat="1" applyFont="1" applyFill="1" applyBorder="1" applyAlignment="1">
      <alignment horizontal="left" wrapText="1"/>
    </xf>
    <xf numFmtId="41" fontId="7" fillId="0" borderId="44" xfId="34" applyNumberFormat="1" applyFont="1" applyFill="1" applyBorder="1" applyAlignment="1">
      <alignment horizontal="left" wrapText="1"/>
    </xf>
    <xf numFmtId="41" fontId="7" fillId="0" borderId="38" xfId="34" applyNumberFormat="1" applyFont="1" applyFill="1" applyBorder="1" applyAlignment="1">
      <alignment horizontal="left"/>
    </xf>
    <xf numFmtId="41" fontId="7" fillId="0" borderId="21" xfId="34" applyNumberFormat="1" applyFont="1" applyFill="1" applyBorder="1" applyAlignment="1">
      <alignment horizontal="left"/>
    </xf>
    <xf numFmtId="41" fontId="7" fillId="0" borderId="40" xfId="34" applyNumberFormat="1" applyFont="1" applyFill="1" applyBorder="1" applyAlignment="1">
      <alignment horizontal="left"/>
    </xf>
    <xf numFmtId="41" fontId="7" fillId="0" borderId="46" xfId="34" applyNumberFormat="1" applyFont="1" applyFill="1" applyBorder="1" applyAlignment="1">
      <alignment horizontal="left"/>
    </xf>
    <xf numFmtId="41" fontId="7" fillId="0" borderId="46" xfId="34" applyNumberFormat="1" applyFont="1" applyFill="1" applyBorder="1" applyProtection="1">
      <protection locked="0"/>
    </xf>
    <xf numFmtId="37" fontId="7" fillId="0" borderId="46" xfId="34" applyFont="1" applyFill="1" applyBorder="1"/>
    <xf numFmtId="41" fontId="7" fillId="0" borderId="34" xfId="34" applyNumberFormat="1" applyFont="1" applyFill="1" applyBorder="1" applyAlignment="1">
      <alignment horizontal="left"/>
    </xf>
    <xf numFmtId="41" fontId="7" fillId="0" borderId="44" xfId="34" applyNumberFormat="1" applyFont="1" applyFill="1" applyBorder="1" applyAlignment="1">
      <alignment horizontal="left"/>
    </xf>
    <xf numFmtId="37" fontId="7" fillId="0" borderId="44" xfId="34" applyFont="1" applyFill="1" applyBorder="1" applyAlignment="1">
      <alignment horizontal="right" wrapText="1"/>
    </xf>
    <xf numFmtId="41" fontId="7" fillId="0" borderId="37" xfId="34" applyNumberFormat="1" applyFont="1" applyFill="1" applyBorder="1"/>
    <xf numFmtId="37" fontId="7" fillId="0" borderId="21" xfId="34" applyFont="1" applyFill="1" applyBorder="1" applyAlignment="1">
      <alignment horizontal="right" wrapText="1"/>
    </xf>
    <xf numFmtId="37" fontId="3" fillId="0" borderId="0" xfId="34" applyFill="1" applyBorder="1"/>
    <xf numFmtId="0" fontId="5" fillId="0" borderId="50" xfId="0" applyNumberFormat="1" applyFont="1" applyBorder="1" applyAlignment="1">
      <alignment horizontal="center" vertical="center"/>
    </xf>
    <xf numFmtId="0" fontId="7" fillId="0" borderId="52" xfId="0" applyNumberFormat="1" applyFont="1" applyBorder="1"/>
    <xf numFmtId="41" fontId="7" fillId="0" borderId="8" xfId="0" applyNumberFormat="1" applyFont="1" applyBorder="1"/>
    <xf numFmtId="0" fontId="7" fillId="0" borderId="55" xfId="0" applyNumberFormat="1" applyFont="1" applyFill="1" applyBorder="1" applyAlignment="1">
      <alignment horizontal="left"/>
    </xf>
    <xf numFmtId="41" fontId="7" fillId="0" borderId="19" xfId="0" applyNumberFormat="1" applyFont="1" applyFill="1" applyBorder="1" applyAlignment="1">
      <alignment horizontal="left"/>
    </xf>
    <xf numFmtId="41" fontId="7" fillId="0" borderId="19" xfId="0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0" fontId="7" fillId="0" borderId="39" xfId="0" applyNumberFormat="1" applyFont="1" applyFill="1" applyBorder="1" applyAlignment="1">
      <alignment horizontal="left"/>
    </xf>
    <xf numFmtId="41" fontId="7" fillId="0" borderId="21" xfId="0" applyNumberFormat="1" applyFont="1" applyFill="1" applyBorder="1" applyAlignment="1">
      <alignment horizontal="left"/>
    </xf>
    <xf numFmtId="41" fontId="7" fillId="0" borderId="21" xfId="0" applyNumberFormat="1" applyFont="1" applyFill="1" applyBorder="1" applyAlignment="1">
      <alignment horizontal="right"/>
    </xf>
    <xf numFmtId="41" fontId="7" fillId="0" borderId="22" xfId="0" applyNumberFormat="1" applyFont="1" applyFill="1" applyBorder="1" applyAlignment="1">
      <alignment horizontal="right"/>
    </xf>
    <xf numFmtId="0" fontId="7" fillId="0" borderId="39" xfId="0" applyNumberFormat="1" applyFont="1" applyFill="1" applyBorder="1"/>
    <xf numFmtId="41" fontId="7" fillId="0" borderId="21" xfId="0" applyNumberFormat="1" applyFont="1" applyFill="1" applyBorder="1"/>
    <xf numFmtId="41" fontId="7" fillId="0" borderId="21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41" fontId="5" fillId="0" borderId="21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 horizontal="right"/>
    </xf>
    <xf numFmtId="41" fontId="19" fillId="0" borderId="21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0" fontId="5" fillId="0" borderId="39" xfId="0" applyNumberFormat="1" applyFont="1" applyFill="1" applyBorder="1"/>
    <xf numFmtId="41" fontId="5" fillId="4" borderId="1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50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/>
    <xf numFmtId="41" fontId="7" fillId="0" borderId="9" xfId="0" applyNumberFormat="1" applyFont="1" applyBorder="1" applyAlignment="1">
      <alignment horizontal="right"/>
    </xf>
    <xf numFmtId="0" fontId="7" fillId="0" borderId="39" xfId="0" applyNumberFormat="1" applyFont="1" applyBorder="1"/>
    <xf numFmtId="41" fontId="7" fillId="0" borderId="21" xfId="0" applyNumberFormat="1" applyFont="1" applyBorder="1"/>
    <xf numFmtId="41" fontId="7" fillId="0" borderId="21" xfId="0" applyNumberFormat="1" applyFont="1" applyBorder="1" applyAlignment="1">
      <alignment horizontal="right"/>
    </xf>
    <xf numFmtId="41" fontId="7" fillId="0" borderId="21" xfId="0" applyNumberFormat="1" applyFont="1" applyBorder="1" applyAlignment="1">
      <alignment horizontal="center"/>
    </xf>
    <xf numFmtId="0" fontId="7" fillId="0" borderId="39" xfId="0" applyNumberFormat="1" applyFont="1" applyFill="1" applyBorder="1" applyAlignment="1">
      <alignment horizontal="left" wrapText="1"/>
    </xf>
    <xf numFmtId="41" fontId="7" fillId="0" borderId="21" xfId="0" applyNumberFormat="1" applyFont="1" applyFill="1" applyBorder="1" applyAlignment="1">
      <alignment horizontal="left" wrapText="1"/>
    </xf>
    <xf numFmtId="0" fontId="17" fillId="0" borderId="39" xfId="0" applyFont="1" applyFill="1" applyBorder="1"/>
    <xf numFmtId="41" fontId="17" fillId="0" borderId="21" xfId="0" applyNumberFormat="1" applyFont="1" applyFill="1" applyBorder="1"/>
    <xf numFmtId="0" fontId="7" fillId="0" borderId="39" xfId="0" applyNumberFormat="1" applyFont="1" applyFill="1" applyBorder="1" applyAlignment="1">
      <alignment horizontal="left" vertical="center" wrapText="1"/>
    </xf>
    <xf numFmtId="41" fontId="19" fillId="0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0" fontId="5" fillId="0" borderId="59" xfId="0" applyNumberFormat="1" applyFont="1" applyFill="1" applyBorder="1" applyAlignment="1">
      <alignment horizontal="center"/>
    </xf>
    <xf numFmtId="41" fontId="5" fillId="0" borderId="17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right"/>
    </xf>
    <xf numFmtId="41" fontId="7" fillId="0" borderId="60" xfId="0" applyNumberFormat="1" applyFont="1" applyFill="1" applyBorder="1" applyAlignment="1">
      <alignment horizontal="right"/>
    </xf>
    <xf numFmtId="0" fontId="5" fillId="4" borderId="2" xfId="0" applyNumberFormat="1" applyFont="1" applyFill="1" applyBorder="1" applyAlignment="1">
      <alignment horizontal="center"/>
    </xf>
    <xf numFmtId="41" fontId="7" fillId="0" borderId="17" xfId="0" applyNumberFormat="1" applyFont="1" applyBorder="1" applyAlignment="1">
      <alignment horizontal="right"/>
    </xf>
    <xf numFmtId="0" fontId="7" fillId="0" borderId="55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right"/>
    </xf>
    <xf numFmtId="0" fontId="7" fillId="0" borderId="61" xfId="0" applyNumberFormat="1" applyFont="1" applyBorder="1" applyAlignment="1">
      <alignment vertical="center"/>
    </xf>
    <xf numFmtId="0" fontId="7" fillId="0" borderId="62" xfId="0" applyNumberFormat="1" applyFont="1" applyBorder="1" applyAlignment="1">
      <alignment vertical="center"/>
    </xf>
    <xf numFmtId="41" fontId="7" fillId="0" borderId="62" xfId="0" applyNumberFormat="1" applyFont="1" applyBorder="1" applyAlignment="1">
      <alignment horizontal="right" vertical="center"/>
    </xf>
    <xf numFmtId="41" fontId="7" fillId="0" borderId="64" xfId="0" applyNumberFormat="1" applyFont="1" applyBorder="1" applyAlignment="1">
      <alignment horizontal="right" vertical="center"/>
    </xf>
    <xf numFmtId="41" fontId="7" fillId="0" borderId="65" xfId="0" applyNumberFormat="1" applyFont="1" applyBorder="1" applyAlignment="1">
      <alignment horizontal="right" vertical="center"/>
    </xf>
    <xf numFmtId="0" fontId="7" fillId="0" borderId="39" xfId="0" applyNumberFormat="1" applyFont="1" applyFill="1" applyBorder="1" applyAlignment="1">
      <alignment horizontal="left" vertical="center"/>
    </xf>
    <xf numFmtId="41" fontId="7" fillId="0" borderId="45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0" fontId="5" fillId="5" borderId="39" xfId="0" applyNumberFormat="1" applyFont="1" applyFill="1" applyBorder="1" applyAlignment="1">
      <alignment horizontal="left" vertical="center"/>
    </xf>
    <xf numFmtId="41" fontId="5" fillId="5" borderId="21" xfId="0" applyNumberFormat="1" applyFont="1" applyFill="1" applyBorder="1" applyAlignment="1">
      <alignment horizontal="right" vertical="center"/>
    </xf>
    <xf numFmtId="41" fontId="5" fillId="5" borderId="22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left" vertical="center"/>
    </xf>
    <xf numFmtId="41" fontId="7" fillId="0" borderId="66" xfId="0" applyNumberFormat="1" applyFont="1" applyFill="1" applyBorder="1" applyAlignment="1">
      <alignment horizontal="right" vertical="center"/>
    </xf>
    <xf numFmtId="0" fontId="7" fillId="0" borderId="59" xfId="0" applyNumberFormat="1" applyFont="1" applyBorder="1" applyAlignment="1">
      <alignment horizontal="lef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60" xfId="0" applyNumberFormat="1" applyFont="1" applyBorder="1" applyAlignment="1">
      <alignment horizontal="right" vertical="center"/>
    </xf>
    <xf numFmtId="41" fontId="7" fillId="0" borderId="67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 vertical="center"/>
    </xf>
    <xf numFmtId="41" fontId="5" fillId="4" borderId="1" xfId="0" applyNumberFormat="1" applyFont="1" applyFill="1" applyBorder="1" applyAlignment="1">
      <alignment horizontal="right" vertical="center"/>
    </xf>
    <xf numFmtId="0" fontId="7" fillId="0" borderId="61" xfId="0" applyNumberFormat="1" applyFont="1" applyFill="1" applyBorder="1" applyAlignment="1">
      <alignment vertical="center"/>
    </xf>
    <xf numFmtId="0" fontId="7" fillId="0" borderId="62" xfId="0" applyNumberFormat="1" applyFont="1" applyFill="1" applyBorder="1" applyAlignment="1">
      <alignment vertical="center"/>
    </xf>
    <xf numFmtId="41" fontId="7" fillId="0" borderId="62" xfId="0" applyNumberFormat="1" applyFont="1" applyFill="1" applyBorder="1" applyAlignment="1">
      <alignment horizontal="right" vertical="center"/>
    </xf>
    <xf numFmtId="41" fontId="7" fillId="0" borderId="63" xfId="0" applyNumberFormat="1" applyFont="1" applyFill="1" applyBorder="1" applyAlignment="1">
      <alignment horizontal="right" vertical="center"/>
    </xf>
    <xf numFmtId="41" fontId="7" fillId="0" borderId="65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56" xfId="0" applyNumberFormat="1" applyFont="1" applyFill="1" applyBorder="1" applyAlignment="1">
      <alignment horizontal="left" vertical="center"/>
    </xf>
    <xf numFmtId="0" fontId="7" fillId="0" borderId="57" xfId="0" applyNumberFormat="1" applyFont="1" applyFill="1" applyBorder="1" applyAlignment="1">
      <alignment horizontal="left" vertical="center"/>
    </xf>
    <xf numFmtId="41" fontId="7" fillId="0" borderId="57" xfId="0" applyNumberFormat="1" applyFont="1" applyFill="1" applyBorder="1" applyAlignment="1">
      <alignment horizontal="right" vertical="center"/>
    </xf>
    <xf numFmtId="41" fontId="7" fillId="0" borderId="68" xfId="0" applyNumberFormat="1" applyFont="1" applyFill="1" applyBorder="1" applyAlignment="1">
      <alignment horizontal="right" vertical="center"/>
    </xf>
    <xf numFmtId="41" fontId="7" fillId="0" borderId="58" xfId="0" applyNumberFormat="1" applyFont="1" applyFill="1" applyBorder="1" applyAlignment="1">
      <alignment horizontal="right" vertical="center"/>
    </xf>
    <xf numFmtId="0" fontId="7" fillId="0" borderId="51" xfId="0" applyNumberFormat="1" applyFont="1" applyBorder="1" applyAlignment="1">
      <alignment horizontal="left" vertical="center"/>
    </xf>
    <xf numFmtId="0" fontId="7" fillId="0" borderId="48" xfId="0" applyNumberFormat="1" applyFont="1" applyBorder="1" applyAlignment="1">
      <alignment horizontal="left" vertical="center"/>
    </xf>
    <xf numFmtId="41" fontId="7" fillId="0" borderId="48" xfId="0" applyNumberFormat="1" applyFont="1" applyBorder="1" applyAlignment="1">
      <alignment horizontal="right" vertical="center"/>
    </xf>
    <xf numFmtId="41" fontId="7" fillId="0" borderId="69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0" fontId="5" fillId="0" borderId="51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left" vertical="center"/>
    </xf>
    <xf numFmtId="0" fontId="4" fillId="0" borderId="0" xfId="0" applyFont="1"/>
    <xf numFmtId="41" fontId="7" fillId="0" borderId="19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/>
    </xf>
    <xf numFmtId="0" fontId="7" fillId="0" borderId="55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right" vertical="center"/>
    </xf>
    <xf numFmtId="41" fontId="19" fillId="0" borderId="57" xfId="0" applyNumberFormat="1" applyFont="1" applyFill="1" applyBorder="1" applyAlignment="1">
      <alignment horizontal="right" vertical="center"/>
    </xf>
    <xf numFmtId="0" fontId="5" fillId="0" borderId="52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5" fillId="0" borderId="55" xfId="0" applyNumberFormat="1" applyFont="1" applyFill="1" applyBorder="1" applyAlignment="1">
      <alignment vertical="center"/>
    </xf>
    <xf numFmtId="41" fontId="5" fillId="0" borderId="19" xfId="0" applyNumberFormat="1" applyFont="1" applyFill="1" applyBorder="1"/>
    <xf numFmtId="41" fontId="5" fillId="0" borderId="19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/>
    </xf>
    <xf numFmtId="0" fontId="7" fillId="0" borderId="39" xfId="0" applyNumberFormat="1" applyFont="1" applyFill="1" applyBorder="1" applyAlignment="1"/>
    <xf numFmtId="0" fontId="7" fillId="0" borderId="59" xfId="0" applyNumberFormat="1" applyFont="1" applyFill="1" applyBorder="1" applyAlignment="1"/>
    <xf numFmtId="41" fontId="7" fillId="0" borderId="17" xfId="0" applyNumberFormat="1" applyFont="1" applyFill="1" applyBorder="1"/>
    <xf numFmtId="41" fontId="7" fillId="0" borderId="18" xfId="0" applyNumberFormat="1" applyFont="1" applyFill="1" applyBorder="1" applyAlignment="1">
      <alignment horizontal="right"/>
    </xf>
    <xf numFmtId="41" fontId="5" fillId="4" borderId="6" xfId="0" applyNumberFormat="1" applyFont="1" applyFill="1" applyBorder="1" applyAlignment="1">
      <alignment horizontal="right"/>
    </xf>
    <xf numFmtId="41" fontId="7" fillId="0" borderId="62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vertical="center"/>
    </xf>
    <xf numFmtId="0" fontId="19" fillId="0" borderId="39" xfId="0" applyNumberFormat="1" applyFont="1" applyBorder="1" applyAlignment="1">
      <alignment horizontal="right" vertical="center"/>
    </xf>
    <xf numFmtId="41" fontId="19" fillId="0" borderId="21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5" fillId="5" borderId="21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7" fillId="3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7" fillId="0" borderId="39" xfId="0" applyNumberFormat="1" applyFont="1" applyBorder="1" applyAlignment="1">
      <alignment horizontal="left" vertical="center"/>
    </xf>
    <xf numFmtId="41" fontId="20" fillId="0" borderId="21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59" xfId="0" applyNumberFormat="1" applyFont="1" applyFill="1" applyBorder="1" applyAlignment="1">
      <alignment horizontal="left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0" fontId="5" fillId="4" borderId="2" xfId="0" applyNumberFormat="1" applyFont="1" applyFill="1" applyBorder="1" applyAlignment="1">
      <alignment horizontal="center" vertical="center"/>
    </xf>
    <xf numFmtId="41" fontId="5" fillId="4" borderId="6" xfId="0" applyNumberFormat="1" applyFont="1" applyFill="1" applyBorder="1" applyAlignment="1">
      <alignment horizontal="right" vertical="center"/>
    </xf>
    <xf numFmtId="41" fontId="7" fillId="0" borderId="2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vertical="center" wrapText="1" shrinkToFit="1"/>
    </xf>
    <xf numFmtId="41" fontId="7" fillId="0" borderId="70" xfId="0" applyNumberFormat="1" applyFont="1" applyBorder="1" applyAlignment="1">
      <alignment horizontal="right" vertical="center"/>
    </xf>
    <xf numFmtId="0" fontId="7" fillId="0" borderId="59" xfId="0" applyNumberFormat="1" applyFont="1" applyBorder="1" applyAlignment="1">
      <alignment vertical="center" wrapText="1" shrinkToFit="1"/>
    </xf>
    <xf numFmtId="41" fontId="5" fillId="0" borderId="17" xfId="0" applyNumberFormat="1" applyFont="1" applyBorder="1" applyAlignment="1">
      <alignment horizontal="center" vertical="center"/>
    </xf>
    <xf numFmtId="41" fontId="7" fillId="0" borderId="71" xfId="0" applyNumberFormat="1" applyFont="1" applyBorder="1" applyAlignment="1">
      <alignment horizontal="right" vertical="center"/>
    </xf>
    <xf numFmtId="41" fontId="7" fillId="3" borderId="21" xfId="0" applyNumberFormat="1" applyFont="1" applyFill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45" xfId="0" applyNumberFormat="1" applyFont="1" applyFill="1" applyBorder="1" applyAlignment="1">
      <alignment vertical="center"/>
    </xf>
    <xf numFmtId="41" fontId="7" fillId="0" borderId="45" xfId="0" applyNumberFormat="1" applyFont="1" applyBorder="1" applyAlignment="1">
      <alignment horizontal="right" vertical="center"/>
    </xf>
    <xf numFmtId="41" fontId="5" fillId="0" borderId="45" xfId="0" applyNumberFormat="1" applyFont="1" applyBorder="1" applyAlignment="1">
      <alignment horizontal="right" vertical="center"/>
    </xf>
    <xf numFmtId="0" fontId="0" fillId="3" borderId="0" xfId="0" applyFill="1"/>
    <xf numFmtId="0" fontId="7" fillId="0" borderId="38" xfId="0" applyNumberFormat="1" applyFont="1" applyFill="1" applyBorder="1" applyAlignment="1">
      <alignment vertical="center"/>
    </xf>
    <xf numFmtId="41" fontId="7" fillId="0" borderId="17" xfId="0" applyNumberFormat="1" applyFont="1" applyBorder="1" applyAlignment="1">
      <alignment horizontal="center" vertical="center"/>
    </xf>
    <xf numFmtId="41" fontId="5" fillId="3" borderId="21" xfId="0" applyNumberFormat="1" applyFont="1" applyFill="1" applyBorder="1" applyAlignment="1">
      <alignment horizontal="right" vertical="center"/>
    </xf>
    <xf numFmtId="41" fontId="7" fillId="3" borderId="22" xfId="0" applyNumberFormat="1" applyFont="1" applyFill="1" applyBorder="1" applyAlignment="1">
      <alignment horizontal="right" vertical="center"/>
    </xf>
    <xf numFmtId="0" fontId="5" fillId="0" borderId="39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right" vertical="center"/>
    </xf>
    <xf numFmtId="0" fontId="5" fillId="0" borderId="59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53" xfId="0" applyNumberFormat="1" applyFont="1" applyBorder="1" applyAlignment="1">
      <alignment horizontal="right" vertical="center"/>
    </xf>
    <xf numFmtId="0" fontId="7" fillId="0" borderId="55" xfId="0" applyNumberFormat="1" applyFont="1" applyFill="1" applyBorder="1" applyAlignment="1">
      <alignment horizontal="lef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0" fontId="7" fillId="0" borderId="56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horizontal="right" vertical="center"/>
    </xf>
    <xf numFmtId="41" fontId="7" fillId="0" borderId="58" xfId="0" applyNumberFormat="1" applyFont="1" applyBorder="1" applyAlignment="1">
      <alignment horizontal="right" vertical="center"/>
    </xf>
    <xf numFmtId="0" fontId="7" fillId="0" borderId="55" xfId="0" applyNumberFormat="1" applyFont="1" applyBorder="1" applyAlignment="1">
      <alignment horizontal="left" vertical="center"/>
    </xf>
    <xf numFmtId="41" fontId="7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7" fillId="0" borderId="55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horizontal="center" vertical="center"/>
    </xf>
    <xf numFmtId="41" fontId="7" fillId="0" borderId="58" xfId="0" applyNumberFormat="1" applyFont="1" applyBorder="1" applyAlignment="1">
      <alignment vertical="center"/>
    </xf>
    <xf numFmtId="0" fontId="5" fillId="0" borderId="52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left" vertical="center"/>
    </xf>
    <xf numFmtId="41" fontId="7" fillId="0" borderId="21" xfId="0" applyNumberFormat="1" applyFont="1" applyFill="1" applyBorder="1" applyAlignment="1">
      <alignment horizontal="left" vertical="center" wrapText="1"/>
    </xf>
    <xf numFmtId="41" fontId="21" fillId="0" borderId="21" xfId="0" applyNumberFormat="1" applyFont="1" applyFill="1" applyBorder="1" applyAlignment="1">
      <alignment horizontal="right" vertical="center"/>
    </xf>
    <xf numFmtId="41" fontId="21" fillId="0" borderId="22" xfId="0" applyNumberFormat="1" applyFont="1" applyFill="1" applyBorder="1" applyAlignment="1">
      <alignment horizontal="right" vertical="center"/>
    </xf>
    <xf numFmtId="0" fontId="7" fillId="3" borderId="39" xfId="0" applyNumberFormat="1" applyFont="1" applyFill="1" applyBorder="1" applyAlignment="1">
      <alignment horizontal="left" vertical="center"/>
    </xf>
    <xf numFmtId="41" fontId="7" fillId="0" borderId="21" xfId="0" applyNumberFormat="1" applyFont="1" applyFill="1" applyBorder="1" applyAlignment="1">
      <alignment vertical="center" wrapText="1"/>
    </xf>
    <xf numFmtId="0" fontId="12" fillId="0" borderId="0" xfId="0" applyFont="1" applyBorder="1" applyAlignment="1"/>
    <xf numFmtId="0" fontId="0" fillId="0" borderId="0" xfId="0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left" vertical="center"/>
    </xf>
    <xf numFmtId="41" fontId="17" fillId="0" borderId="42" xfId="0" applyNumberFormat="1" applyFont="1" applyFill="1" applyBorder="1" applyAlignment="1">
      <alignment horizontal="right" vertical="center"/>
    </xf>
    <xf numFmtId="41" fontId="17" fillId="0" borderId="43" xfId="0" applyNumberFormat="1" applyFont="1" applyFill="1" applyBorder="1" applyAlignment="1">
      <alignment horizontal="right" vertical="center"/>
    </xf>
    <xf numFmtId="41" fontId="17" fillId="3" borderId="42" xfId="0" applyNumberFormat="1" applyFont="1" applyFill="1" applyBorder="1" applyAlignment="1">
      <alignment horizontal="right" vertical="center"/>
    </xf>
    <xf numFmtId="41" fontId="17" fillId="3" borderId="43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left" vertical="center" wrapText="1"/>
    </xf>
    <xf numFmtId="41" fontId="17" fillId="0" borderId="21" xfId="0" applyNumberFormat="1" applyFont="1" applyFill="1" applyBorder="1" applyAlignment="1">
      <alignment horizontal="right" vertical="center" wrapText="1"/>
    </xf>
    <xf numFmtId="41" fontId="17" fillId="3" borderId="21" xfId="0" applyNumberFormat="1" applyFont="1" applyFill="1" applyBorder="1" applyAlignment="1">
      <alignment horizontal="right" vertical="center" wrapText="1"/>
    </xf>
    <xf numFmtId="41" fontId="17" fillId="3" borderId="22" xfId="0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/>
    </xf>
    <xf numFmtId="0" fontId="7" fillId="0" borderId="38" xfId="0" applyNumberFormat="1" applyFont="1" applyBorder="1" applyAlignment="1">
      <alignment horizontal="left" vertical="center"/>
    </xf>
    <xf numFmtId="0" fontId="17" fillId="0" borderId="38" xfId="0" applyFont="1" applyFill="1" applyBorder="1" applyAlignment="1">
      <alignment vertical="center"/>
    </xf>
    <xf numFmtId="0" fontId="0" fillId="0" borderId="0" xfId="0" applyFont="1"/>
    <xf numFmtId="0" fontId="17" fillId="0" borderId="39" xfId="0" applyFont="1" applyFill="1" applyBorder="1" applyAlignment="1">
      <alignment vertical="center"/>
    </xf>
    <xf numFmtId="41" fontId="17" fillId="0" borderId="21" xfId="0" applyNumberFormat="1" applyFont="1" applyBorder="1" applyAlignment="1">
      <alignment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6" fillId="0" borderId="0" xfId="0" applyNumberFormat="1" applyFont="1"/>
    <xf numFmtId="0" fontId="15" fillId="0" borderId="0" xfId="0" applyFont="1" applyFill="1" applyBorder="1" applyAlignment="1">
      <alignment horizontal="center"/>
    </xf>
    <xf numFmtId="41" fontId="16" fillId="0" borderId="0" xfId="0" applyNumberFormat="1" applyFont="1" applyBorder="1"/>
    <xf numFmtId="0" fontId="0" fillId="0" borderId="0" xfId="0" applyFill="1" applyBorder="1"/>
    <xf numFmtId="41" fontId="16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41" fontId="0" fillId="0" borderId="0" xfId="0" applyNumberForma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41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19" fillId="0" borderId="56" xfId="0" applyNumberFormat="1" applyFont="1" applyBorder="1" applyAlignment="1">
      <alignment horizontal="right" vertical="center"/>
    </xf>
    <xf numFmtId="41" fontId="19" fillId="0" borderId="57" xfId="0" applyNumberFormat="1" applyFont="1" applyBorder="1" applyAlignment="1">
      <alignment horizontal="right" vertical="center"/>
    </xf>
    <xf numFmtId="0" fontId="5" fillId="0" borderId="55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right" vertical="center"/>
    </xf>
    <xf numFmtId="0" fontId="5" fillId="0" borderId="39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left" vertical="center"/>
    </xf>
    <xf numFmtId="41" fontId="19" fillId="3" borderId="9" xfId="0" applyNumberFormat="1" applyFont="1" applyFill="1" applyBorder="1" applyAlignment="1">
      <alignment horizontal="right" vertical="center"/>
    </xf>
    <xf numFmtId="41" fontId="7" fillId="3" borderId="9" xfId="0" applyNumberFormat="1" applyFont="1" applyFill="1" applyBorder="1" applyAlignment="1">
      <alignment horizontal="right" vertical="center"/>
    </xf>
    <xf numFmtId="0" fontId="7" fillId="0" borderId="81" xfId="0" applyNumberFormat="1" applyFont="1" applyBorder="1" applyAlignment="1">
      <alignment vertical="center"/>
    </xf>
    <xf numFmtId="0" fontId="7" fillId="0" borderId="38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left" vertical="center"/>
    </xf>
    <xf numFmtId="41" fontId="5" fillId="0" borderId="21" xfId="0" applyNumberFormat="1" applyFont="1" applyFill="1" applyBorder="1" applyAlignment="1">
      <alignment horizontal="center" vertical="center" wrapText="1"/>
    </xf>
    <xf numFmtId="0" fontId="7" fillId="3" borderId="38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1" fontId="17" fillId="0" borderId="21" xfId="0" applyNumberFormat="1" applyFont="1" applyFill="1" applyBorder="1" applyAlignment="1">
      <alignment vertical="center"/>
    </xf>
    <xf numFmtId="41" fontId="17" fillId="0" borderId="22" xfId="0" applyNumberFormat="1" applyFont="1" applyFill="1" applyBorder="1" applyAlignment="1">
      <alignment vertical="center"/>
    </xf>
    <xf numFmtId="0" fontId="7" fillId="0" borderId="82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72" xfId="0" applyNumberFormat="1" applyFont="1" applyBorder="1" applyAlignment="1">
      <alignment horizontal="right" vertical="center"/>
    </xf>
    <xf numFmtId="0" fontId="19" fillId="0" borderId="38" xfId="0" applyNumberFormat="1" applyFont="1" applyBorder="1" applyAlignment="1">
      <alignment horizontal="right" vertical="center"/>
    </xf>
    <xf numFmtId="0" fontId="7" fillId="3" borderId="38" xfId="0" applyNumberFormat="1" applyFont="1" applyFill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0" fontId="5" fillId="0" borderId="83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vertical="center" wrapText="1"/>
    </xf>
    <xf numFmtId="0" fontId="7" fillId="0" borderId="59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/>
    </xf>
    <xf numFmtId="0" fontId="5" fillId="0" borderId="84" xfId="0" applyNumberFormat="1" applyFont="1" applyBorder="1" applyAlignment="1">
      <alignment horizontal="center" wrapText="1"/>
    </xf>
    <xf numFmtId="0" fontId="5" fillId="0" borderId="62" xfId="0" applyNumberFormat="1" applyFont="1" applyBorder="1" applyAlignment="1">
      <alignment horizont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5" borderId="39" xfId="0" applyNumberFormat="1" applyFont="1" applyFill="1" applyBorder="1" applyAlignment="1">
      <alignment horizontal="left"/>
    </xf>
    <xf numFmtId="41" fontId="5" fillId="5" borderId="21" xfId="0" applyNumberFormat="1" applyFont="1" applyFill="1" applyBorder="1" applyAlignment="1">
      <alignment horizontal="center"/>
    </xf>
    <xf numFmtId="41" fontId="5" fillId="5" borderId="21" xfId="0" applyNumberFormat="1" applyFont="1" applyFill="1" applyBorder="1" applyAlignment="1">
      <alignment horizontal="right"/>
    </xf>
    <xf numFmtId="0" fontId="19" fillId="0" borderId="39" xfId="0" applyNumberFormat="1" applyFont="1" applyBorder="1" applyAlignment="1">
      <alignment horizontal="right"/>
    </xf>
    <xf numFmtId="41" fontId="19" fillId="0" borderId="21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0" fontId="7" fillId="0" borderId="39" xfId="0" applyNumberFormat="1" applyFont="1" applyFill="1" applyBorder="1" applyAlignment="1">
      <alignment wrapText="1"/>
    </xf>
    <xf numFmtId="41" fontId="7" fillId="0" borderId="21" xfId="0" applyNumberFormat="1" applyFont="1" applyFill="1" applyBorder="1" applyAlignment="1">
      <alignment wrapText="1"/>
    </xf>
    <xf numFmtId="0" fontId="7" fillId="3" borderId="39" xfId="0" applyNumberFormat="1" applyFont="1" applyFill="1" applyBorder="1" applyAlignment="1">
      <alignment wrapText="1"/>
    </xf>
    <xf numFmtId="41" fontId="7" fillId="3" borderId="21" xfId="0" applyNumberFormat="1" applyFont="1" applyFill="1" applyBorder="1" applyAlignment="1">
      <alignment wrapText="1"/>
    </xf>
    <xf numFmtId="41" fontId="7" fillId="3" borderId="21" xfId="0" applyNumberFormat="1" applyFont="1" applyFill="1" applyBorder="1" applyAlignment="1">
      <alignment horizontal="right"/>
    </xf>
    <xf numFmtId="0" fontId="5" fillId="0" borderId="59" xfId="0" applyNumberFormat="1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41" fontId="5" fillId="4" borderId="7" xfId="0" applyNumberFormat="1" applyFont="1" applyFill="1" applyBorder="1" applyAlignment="1">
      <alignment horizontal="right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84" xfId="0" applyNumberFormat="1" applyFont="1" applyFill="1" applyBorder="1" applyAlignment="1">
      <alignment horizontal="center"/>
    </xf>
    <xf numFmtId="0" fontId="5" fillId="0" borderId="84" xfId="0" applyNumberFormat="1" applyFont="1" applyFill="1" applyBorder="1" applyAlignment="1">
      <alignment horizontal="center" wrapText="1"/>
    </xf>
    <xf numFmtId="0" fontId="5" fillId="0" borderId="62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left"/>
    </xf>
    <xf numFmtId="0" fontId="5" fillId="0" borderId="85" xfId="0" applyNumberFormat="1" applyFont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85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/>
    </xf>
    <xf numFmtId="41" fontId="5" fillId="5" borderId="22" xfId="0" applyNumberFormat="1" applyFont="1" applyFill="1" applyBorder="1" applyAlignment="1">
      <alignment horizontal="right"/>
    </xf>
    <xf numFmtId="0" fontId="7" fillId="0" borderId="21" xfId="0" applyNumberFormat="1" applyFont="1" applyBorder="1"/>
    <xf numFmtId="41" fontId="7" fillId="0" borderId="22" xfId="0" applyNumberFormat="1" applyFont="1" applyFill="1" applyBorder="1" applyAlignment="1">
      <alignment horizontal="center"/>
    </xf>
    <xf numFmtId="0" fontId="7" fillId="0" borderId="21" xfId="0" applyNumberFormat="1" applyFont="1" applyFill="1" applyBorder="1"/>
    <xf numFmtId="0" fontId="19" fillId="0" borderId="21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41" fontId="17" fillId="0" borderId="22" xfId="0" applyNumberFormat="1" applyFont="1" applyFill="1" applyBorder="1" applyAlignment="1">
      <alignment horizontal="right" vertical="center"/>
    </xf>
    <xf numFmtId="0" fontId="17" fillId="3" borderId="52" xfId="0" applyFont="1" applyFill="1" applyBorder="1"/>
    <xf numFmtId="41" fontId="17" fillId="3" borderId="9" xfId="0" applyNumberFormat="1" applyFont="1" applyFill="1" applyBorder="1"/>
    <xf numFmtId="41" fontId="7" fillId="3" borderId="9" xfId="0" applyNumberFormat="1" applyFont="1" applyFill="1" applyBorder="1" applyAlignment="1">
      <alignment horizontal="right"/>
    </xf>
    <xf numFmtId="41" fontId="7" fillId="3" borderId="11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vertical="center" wrapText="1"/>
    </xf>
    <xf numFmtId="41" fontId="7" fillId="0" borderId="44" xfId="0" applyNumberFormat="1" applyFont="1" applyFill="1" applyBorder="1" applyAlignment="1">
      <alignment vertical="center"/>
    </xf>
    <xf numFmtId="41" fontId="17" fillId="0" borderId="44" xfId="0" applyNumberFormat="1" applyFont="1" applyFill="1" applyBorder="1" applyAlignment="1">
      <alignment vertical="center"/>
    </xf>
    <xf numFmtId="41" fontId="17" fillId="0" borderId="44" xfId="0" applyNumberFormat="1" applyFont="1" applyFill="1" applyBorder="1" applyAlignment="1">
      <alignment horizontal="center" vertical="center"/>
    </xf>
    <xf numFmtId="41" fontId="17" fillId="0" borderId="37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 wrapText="1"/>
    </xf>
    <xf numFmtId="41" fontId="17" fillId="0" borderId="21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41" fontId="17" fillId="0" borderId="22" xfId="0" applyNumberFormat="1" applyFont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41" fontId="17" fillId="0" borderId="17" xfId="0" applyNumberFormat="1" applyFont="1" applyFill="1" applyBorder="1" applyAlignment="1">
      <alignment vertical="center"/>
    </xf>
    <xf numFmtId="41" fontId="17" fillId="0" borderId="18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 wrapText="1"/>
    </xf>
    <xf numFmtId="41" fontId="4" fillId="0" borderId="21" xfId="0" applyNumberFormat="1" applyFont="1" applyFill="1" applyBorder="1" applyAlignment="1">
      <alignment vertical="center"/>
    </xf>
    <xf numFmtId="41" fontId="7" fillId="3" borderId="17" xfId="0" applyNumberFormat="1" applyFont="1" applyFill="1" applyBorder="1" applyAlignment="1">
      <alignment vertical="center" wrapText="1"/>
    </xf>
    <xf numFmtId="41" fontId="17" fillId="3" borderId="17" xfId="0" applyNumberFormat="1" applyFont="1" applyFill="1" applyBorder="1" applyAlignment="1">
      <alignment vertical="center"/>
    </xf>
    <xf numFmtId="0" fontId="5" fillId="3" borderId="59" xfId="0" applyFont="1" applyFill="1" applyBorder="1" applyAlignment="1">
      <alignment vertical="center" wrapText="1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vertical="center" wrapText="1"/>
    </xf>
    <xf numFmtId="41" fontId="7" fillId="0" borderId="57" xfId="0" applyNumberFormat="1" applyFont="1" applyFill="1" applyBorder="1" applyAlignment="1">
      <alignment vertical="center" wrapText="1"/>
    </xf>
    <xf numFmtId="41" fontId="17" fillId="0" borderId="57" xfId="0" applyNumberFormat="1" applyFont="1" applyBorder="1" applyAlignment="1">
      <alignment vertical="center"/>
    </xf>
    <xf numFmtId="41" fontId="17" fillId="0" borderId="58" xfId="0" applyNumberFormat="1" applyFont="1" applyBorder="1" applyAlignment="1">
      <alignment vertical="center"/>
    </xf>
    <xf numFmtId="41" fontId="4" fillId="0" borderId="106" xfId="0" applyNumberFormat="1" applyFont="1" applyFill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1" fontId="7" fillId="0" borderId="14" xfId="34" applyNumberFormat="1" applyFont="1" applyFill="1" applyBorder="1" applyAlignment="1" applyProtection="1">
      <alignment vertical="center"/>
      <protection locked="0"/>
    </xf>
    <xf numFmtId="41" fontId="7" fillId="0" borderId="21" xfId="34" applyNumberFormat="1" applyFont="1" applyFill="1" applyBorder="1" applyAlignment="1" applyProtection="1">
      <alignment vertical="center"/>
      <protection locked="0"/>
    </xf>
    <xf numFmtId="41" fontId="7" fillId="0" borderId="22" xfId="34" applyNumberFormat="1" applyFont="1" applyFill="1" applyBorder="1" applyAlignment="1" applyProtection="1">
      <alignment vertical="center"/>
      <protection locked="0"/>
    </xf>
    <xf numFmtId="41" fontId="7" fillId="0" borderId="13" xfId="34" applyNumberFormat="1" applyFont="1" applyFill="1" applyBorder="1" applyAlignment="1">
      <alignment vertical="center"/>
    </xf>
    <xf numFmtId="41" fontId="7" fillId="0" borderId="14" xfId="34" applyNumberFormat="1" applyFont="1" applyFill="1" applyBorder="1" applyAlignment="1">
      <alignment vertical="center"/>
    </xf>
    <xf numFmtId="41" fontId="7" fillId="0" borderId="21" xfId="34" applyNumberFormat="1" applyFont="1" applyFill="1" applyBorder="1" applyAlignment="1">
      <alignment vertical="center"/>
    </xf>
    <xf numFmtId="41" fontId="7" fillId="0" borderId="22" xfId="34" applyNumberFormat="1" applyFont="1" applyFill="1" applyBorder="1" applyAlignment="1">
      <alignment vertical="center"/>
    </xf>
    <xf numFmtId="41" fontId="5" fillId="0" borderId="14" xfId="34" applyNumberFormat="1" applyFont="1" applyFill="1" applyBorder="1" applyAlignment="1" applyProtection="1">
      <alignment vertical="center"/>
      <protection locked="0"/>
    </xf>
    <xf numFmtId="41" fontId="5" fillId="0" borderId="21" xfId="34" applyNumberFormat="1" applyFont="1" applyFill="1" applyBorder="1" applyAlignment="1" applyProtection="1">
      <alignment vertical="center"/>
      <protection locked="0"/>
    </xf>
    <xf numFmtId="41" fontId="5" fillId="0" borderId="22" xfId="34" applyNumberFormat="1" applyFont="1" applyFill="1" applyBorder="1" applyAlignment="1" applyProtection="1">
      <alignment vertical="center"/>
      <protection locked="0"/>
    </xf>
    <xf numFmtId="41" fontId="5" fillId="0" borderId="13" xfId="34" applyNumberFormat="1" applyFont="1" applyFill="1" applyBorder="1" applyAlignment="1">
      <alignment horizontal="center" vertical="center" wrapText="1"/>
    </xf>
    <xf numFmtId="41" fontId="5" fillId="0" borderId="14" xfId="34" applyNumberFormat="1" applyFont="1" applyFill="1" applyBorder="1" applyAlignment="1">
      <alignment horizontal="center" vertical="center" wrapText="1"/>
    </xf>
    <xf numFmtId="37" fontId="5" fillId="0" borderId="13" xfId="34" applyFont="1" applyFill="1" applyBorder="1" applyAlignment="1">
      <alignment horizontal="center" vertical="center"/>
    </xf>
    <xf numFmtId="41" fontId="7" fillId="0" borderId="13" xfId="34" applyNumberFormat="1" applyFont="1" applyFill="1" applyBorder="1" applyAlignment="1">
      <alignment horizontal="left" vertical="center"/>
    </xf>
    <xf numFmtId="41" fontId="7" fillId="0" borderId="14" xfId="34" applyNumberFormat="1" applyFont="1" applyFill="1" applyBorder="1" applyAlignment="1">
      <alignment horizontal="left" vertical="center"/>
    </xf>
    <xf numFmtId="0" fontId="5" fillId="38" borderId="2" xfId="0" applyNumberFormat="1" applyFont="1" applyFill="1" applyBorder="1" applyAlignment="1">
      <alignment horizontal="center" vertical="center"/>
    </xf>
    <xf numFmtId="41" fontId="5" fillId="38" borderId="6" xfId="0" applyNumberFormat="1" applyFont="1" applyFill="1" applyBorder="1" applyAlignment="1">
      <alignment horizontal="right" vertical="center"/>
    </xf>
    <xf numFmtId="41" fontId="5" fillId="38" borderId="29" xfId="0" applyNumberFormat="1" applyFont="1" applyFill="1" applyBorder="1" applyAlignment="1">
      <alignment horizontal="right" vertical="center"/>
    </xf>
    <xf numFmtId="0" fontId="5" fillId="37" borderId="39" xfId="0" applyNumberFormat="1" applyFont="1" applyFill="1" applyBorder="1" applyAlignment="1">
      <alignment vertical="center"/>
    </xf>
    <xf numFmtId="41" fontId="5" fillId="37" borderId="21" xfId="0" applyNumberFormat="1" applyFont="1" applyFill="1" applyBorder="1" applyAlignment="1">
      <alignment vertical="center"/>
    </xf>
    <xf numFmtId="41" fontId="5" fillId="37" borderId="21" xfId="0" applyNumberFormat="1" applyFont="1" applyFill="1" applyBorder="1" applyAlignment="1">
      <alignment horizontal="right" vertical="center"/>
    </xf>
    <xf numFmtId="41" fontId="5" fillId="37" borderId="22" xfId="0" applyNumberFormat="1" applyFont="1" applyFill="1" applyBorder="1" applyAlignment="1">
      <alignment horizontal="right" vertical="center"/>
    </xf>
    <xf numFmtId="0" fontId="5" fillId="37" borderId="39" xfId="0" applyNumberFormat="1" applyFont="1" applyFill="1" applyBorder="1" applyAlignment="1">
      <alignment horizontal="left" vertical="center"/>
    </xf>
    <xf numFmtId="41" fontId="5" fillId="37" borderId="21" xfId="0" applyNumberFormat="1" applyFont="1" applyFill="1" applyBorder="1" applyAlignment="1">
      <alignment horizontal="center" vertical="center"/>
    </xf>
    <xf numFmtId="41" fontId="5" fillId="38" borderId="1" xfId="0" applyNumberFormat="1" applyFont="1" applyFill="1" applyBorder="1" applyAlignment="1">
      <alignment horizontal="right" vertical="center"/>
    </xf>
    <xf numFmtId="41" fontId="5" fillId="37" borderId="45" xfId="0" applyNumberFormat="1" applyFont="1" applyFill="1" applyBorder="1" applyAlignment="1">
      <alignment horizontal="right" vertical="center"/>
    </xf>
    <xf numFmtId="0" fontId="5" fillId="37" borderId="52" xfId="0" applyNumberFormat="1" applyFont="1" applyFill="1" applyBorder="1" applyAlignment="1">
      <alignment vertical="center"/>
    </xf>
    <xf numFmtId="41" fontId="5" fillId="37" borderId="9" xfId="0" applyNumberFormat="1" applyFont="1" applyFill="1" applyBorder="1" applyAlignment="1">
      <alignment vertical="center"/>
    </xf>
    <xf numFmtId="41" fontId="5" fillId="37" borderId="9" xfId="0" applyNumberFormat="1" applyFont="1" applyFill="1" applyBorder="1" applyAlignment="1">
      <alignment horizontal="right" vertical="center"/>
    </xf>
    <xf numFmtId="41" fontId="5" fillId="37" borderId="11" xfId="0" applyNumberFormat="1" applyFont="1" applyFill="1" applyBorder="1" applyAlignment="1">
      <alignment horizontal="right" vertical="center"/>
    </xf>
    <xf numFmtId="0" fontId="5" fillId="37" borderId="52" xfId="0" applyNumberFormat="1" applyFont="1" applyFill="1" applyBorder="1" applyAlignment="1">
      <alignment horizontal="left" vertical="center"/>
    </xf>
    <xf numFmtId="41" fontId="5" fillId="37" borderId="9" xfId="0" applyNumberFormat="1" applyFont="1" applyFill="1" applyBorder="1" applyAlignment="1">
      <alignment horizontal="center" vertical="center"/>
    </xf>
    <xf numFmtId="41" fontId="5" fillId="38" borderId="3" xfId="0" applyNumberFormat="1" applyFont="1" applyFill="1" applyBorder="1" applyAlignment="1">
      <alignment horizontal="right" vertical="center"/>
    </xf>
    <xf numFmtId="0" fontId="0" fillId="0" borderId="110" xfId="0" applyBorder="1" applyAlignment="1">
      <alignment vertical="center"/>
    </xf>
    <xf numFmtId="41" fontId="7" fillId="3" borderId="57" xfId="0" applyNumberFormat="1" applyFont="1" applyFill="1" applyBorder="1" applyAlignment="1">
      <alignment vertical="center"/>
    </xf>
    <xf numFmtId="41" fontId="7" fillId="3" borderId="57" xfId="0" applyNumberFormat="1" applyFont="1" applyFill="1" applyBorder="1" applyAlignment="1">
      <alignment horizontal="right" vertical="center"/>
    </xf>
    <xf numFmtId="41" fontId="17" fillId="0" borderId="57" xfId="0" applyNumberFormat="1" applyFont="1" applyFill="1" applyBorder="1" applyAlignment="1">
      <alignment vertical="center"/>
    </xf>
    <xf numFmtId="41" fontId="17" fillId="0" borderId="58" xfId="0" applyNumberFormat="1" applyFont="1" applyFill="1" applyBorder="1" applyAlignment="1">
      <alignment vertical="center"/>
    </xf>
    <xf numFmtId="0" fontId="5" fillId="38" borderId="16" xfId="0" applyNumberFormat="1" applyFont="1" applyFill="1" applyBorder="1" applyAlignment="1">
      <alignment horizontal="center" vertical="center"/>
    </xf>
    <xf numFmtId="41" fontId="5" fillId="38" borderId="17" xfId="0" applyNumberFormat="1" applyFont="1" applyFill="1" applyBorder="1" applyAlignment="1">
      <alignment horizontal="right" vertical="center"/>
    </xf>
    <xf numFmtId="41" fontId="5" fillId="38" borderId="18" xfId="0" applyNumberFormat="1" applyFont="1" applyFill="1" applyBorder="1" applyAlignment="1">
      <alignment horizontal="right" vertical="center"/>
    </xf>
    <xf numFmtId="0" fontId="5" fillId="37" borderId="38" xfId="0" applyNumberFormat="1" applyFont="1" applyFill="1" applyBorder="1" applyAlignment="1">
      <alignment vertical="center"/>
    </xf>
    <xf numFmtId="0" fontId="5" fillId="37" borderId="38" xfId="0" applyNumberFormat="1" applyFont="1" applyFill="1" applyBorder="1" applyAlignment="1">
      <alignment horizontal="left" vertical="center"/>
    </xf>
    <xf numFmtId="0" fontId="5" fillId="38" borderId="1" xfId="0" applyNumberFormat="1" applyFont="1" applyFill="1" applyBorder="1" applyAlignment="1">
      <alignment horizontal="center" vertical="center"/>
    </xf>
    <xf numFmtId="41" fontId="7" fillId="0" borderId="54" xfId="0" applyNumberFormat="1" applyFont="1" applyBorder="1" applyAlignment="1">
      <alignment horizontal="right" vertical="center"/>
    </xf>
    <xf numFmtId="0" fontId="19" fillId="0" borderId="39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right" vertical="center"/>
    </xf>
    <xf numFmtId="41" fontId="5" fillId="0" borderId="48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left" vertical="center"/>
    </xf>
    <xf numFmtId="41" fontId="7" fillId="0" borderId="9" xfId="0" applyNumberFormat="1" applyFont="1" applyBorder="1" applyAlignment="1">
      <alignment horizontal="left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left"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41" fontId="7" fillId="0" borderId="19" xfId="0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right" vertical="center" wrapText="1"/>
    </xf>
    <xf numFmtId="41" fontId="7" fillId="0" borderId="45" xfId="0" applyNumberFormat="1" applyFont="1" applyFill="1" applyBorder="1" applyAlignment="1">
      <alignment horizontal="righ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41" fontId="7" fillId="0" borderId="14" xfId="0" applyNumberFormat="1" applyFont="1" applyFill="1" applyBorder="1" applyAlignment="1">
      <alignment horizontal="lef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17" fillId="0" borderId="14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0" fontId="5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horizontal="right" vertical="center" wrapText="1"/>
    </xf>
    <xf numFmtId="41" fontId="7" fillId="0" borderId="22" xfId="0" applyNumberFormat="1" applyFont="1" applyBorder="1" applyAlignment="1">
      <alignment horizontal="center"/>
    </xf>
    <xf numFmtId="41" fontId="5" fillId="38" borderId="7" xfId="0" applyNumberFormat="1" applyFont="1" applyFill="1" applyBorder="1" applyAlignment="1">
      <alignment horizontal="right" vertical="center"/>
    </xf>
    <xf numFmtId="41" fontId="7" fillId="37" borderId="9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/>
    <xf numFmtId="0" fontId="7" fillId="0" borderId="74" xfId="0" applyNumberFormat="1" applyFont="1" applyBorder="1"/>
    <xf numFmtId="41" fontId="7" fillId="0" borderId="8" xfId="0" applyNumberFormat="1" applyFont="1" applyBorder="1" applyAlignment="1">
      <alignment horizontal="right"/>
    </xf>
    <xf numFmtId="41" fontId="7" fillId="0" borderId="72" xfId="0" applyNumberFormat="1" applyFont="1" applyBorder="1" applyAlignment="1">
      <alignment horizontal="right"/>
    </xf>
    <xf numFmtId="41" fontId="19" fillId="37" borderId="9" xfId="0" applyNumberFormat="1" applyFont="1" applyFill="1" applyBorder="1" applyAlignment="1">
      <alignment horizontal="right" vertical="center"/>
    </xf>
    <xf numFmtId="0" fontId="5" fillId="37" borderId="39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left" vertical="center"/>
    </xf>
    <xf numFmtId="41" fontId="19" fillId="0" borderId="9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57" xfId="0" applyNumberFormat="1" applyFont="1" applyFill="1" applyBorder="1" applyAlignment="1">
      <alignment horizontal="center" vertical="center"/>
    </xf>
    <xf numFmtId="0" fontId="5" fillId="37" borderId="55" xfId="0" applyNumberFormat="1" applyFont="1" applyFill="1" applyBorder="1" applyAlignment="1">
      <alignment vertical="center"/>
    </xf>
    <xf numFmtId="41" fontId="5" fillId="37" borderId="19" xfId="0" applyNumberFormat="1" applyFont="1" applyFill="1" applyBorder="1" applyAlignment="1">
      <alignment vertical="center"/>
    </xf>
    <xf numFmtId="41" fontId="5" fillId="37" borderId="19" xfId="0" applyNumberFormat="1" applyFont="1" applyFill="1" applyBorder="1" applyAlignment="1">
      <alignment horizontal="right" vertical="center"/>
    </xf>
    <xf numFmtId="41" fontId="5" fillId="37" borderId="20" xfId="0" applyNumberFormat="1" applyFont="1" applyFill="1" applyBorder="1" applyAlignment="1">
      <alignment horizontal="right" vertical="center"/>
    </xf>
    <xf numFmtId="0" fontId="43" fillId="0" borderId="0" xfId="0" applyFont="1"/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43" fontId="42" fillId="0" borderId="33" xfId="46" applyFont="1" applyBorder="1" applyAlignment="1">
      <alignment horizontal="right" vertical="center"/>
    </xf>
    <xf numFmtId="0" fontId="42" fillId="0" borderId="11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43" fontId="42" fillId="0" borderId="43" xfId="46" applyFont="1" applyBorder="1" applyAlignment="1">
      <alignment horizontal="right" vertical="center"/>
    </xf>
    <xf numFmtId="0" fontId="42" fillId="0" borderId="116" xfId="0" applyFont="1" applyBorder="1" applyAlignment="1">
      <alignment horizontal="center" vertical="center"/>
    </xf>
    <xf numFmtId="43" fontId="42" fillId="0" borderId="117" xfId="46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41" fontId="4" fillId="39" borderId="12" xfId="0" applyNumberFormat="1" applyFont="1" applyFill="1" applyBorder="1" applyAlignment="1">
      <alignment vertical="center"/>
    </xf>
    <xf numFmtId="41" fontId="4" fillId="39" borderId="14" xfId="0" applyNumberFormat="1" applyFont="1" applyFill="1" applyBorder="1" applyAlignment="1">
      <alignment vertical="center"/>
    </xf>
    <xf numFmtId="41" fontId="7" fillId="39" borderId="21" xfId="34" applyNumberFormat="1" applyFont="1" applyFill="1" applyBorder="1" applyProtection="1">
      <protection locked="0"/>
    </xf>
    <xf numFmtId="37" fontId="7" fillId="39" borderId="21" xfId="34" applyFont="1" applyFill="1" applyBorder="1"/>
    <xf numFmtId="41" fontId="7" fillId="39" borderId="22" xfId="34" applyNumberFormat="1" applyFont="1" applyFill="1" applyBorder="1" applyProtection="1">
      <protection locked="0"/>
    </xf>
    <xf numFmtId="41" fontId="7" fillId="39" borderId="38" xfId="34" applyNumberFormat="1" applyFont="1" applyFill="1" applyBorder="1"/>
    <xf numFmtId="41" fontId="7" fillId="39" borderId="21" xfId="34" applyNumberFormat="1" applyFont="1" applyFill="1" applyBorder="1"/>
    <xf numFmtId="41" fontId="5" fillId="39" borderId="3" xfId="34" applyNumberFormat="1" applyFont="1" applyFill="1" applyBorder="1"/>
    <xf numFmtId="37" fontId="5" fillId="39" borderId="27" xfId="34" applyFont="1" applyFill="1" applyBorder="1" applyAlignment="1">
      <alignment horizontal="center"/>
    </xf>
    <xf numFmtId="41" fontId="5" fillId="39" borderId="6" xfId="34" applyNumberFormat="1" applyFont="1" applyFill="1" applyBorder="1"/>
    <xf numFmtId="41" fontId="5" fillId="39" borderId="28" xfId="34" applyNumberFormat="1" applyFont="1" applyFill="1" applyBorder="1"/>
    <xf numFmtId="41" fontId="17" fillId="39" borderId="21" xfId="0" applyNumberFormat="1" applyFont="1" applyFill="1" applyBorder="1" applyAlignment="1">
      <alignment horizontal="right" vertical="center" wrapText="1"/>
    </xf>
    <xf numFmtId="0" fontId="7" fillId="39" borderId="39" xfId="0" applyNumberFormat="1" applyFont="1" applyFill="1" applyBorder="1" applyAlignment="1">
      <alignment horizontal="left" vertical="center"/>
    </xf>
    <xf numFmtId="41" fontId="7" fillId="39" borderId="21" xfId="0" applyNumberFormat="1" applyFont="1" applyFill="1" applyBorder="1" applyAlignment="1">
      <alignment horizontal="right" vertical="center"/>
    </xf>
    <xf numFmtId="41" fontId="7" fillId="39" borderId="22" xfId="0" applyNumberFormat="1" applyFont="1" applyFill="1" applyBorder="1" applyAlignment="1">
      <alignment horizontal="right" vertical="center"/>
    </xf>
    <xf numFmtId="0" fontId="7" fillId="39" borderId="56" xfId="0" applyNumberFormat="1" applyFont="1" applyFill="1" applyBorder="1" applyAlignment="1">
      <alignment horizontal="left" vertical="center"/>
    </xf>
    <xf numFmtId="41" fontId="7" fillId="39" borderId="57" xfId="0" applyNumberFormat="1" applyFont="1" applyFill="1" applyBorder="1" applyAlignment="1">
      <alignment horizontal="right" vertical="center"/>
    </xf>
    <xf numFmtId="41" fontId="20" fillId="39" borderId="21" xfId="0" applyNumberFormat="1" applyFont="1" applyFill="1" applyBorder="1" applyAlignment="1">
      <alignment horizontal="right" vertical="center"/>
    </xf>
    <xf numFmtId="0" fontId="7" fillId="39" borderId="39" xfId="0" applyNumberFormat="1" applyFont="1" applyFill="1" applyBorder="1" applyAlignment="1">
      <alignment vertical="center"/>
    </xf>
    <xf numFmtId="41" fontId="7" fillId="39" borderId="21" xfId="0" applyNumberFormat="1" applyFont="1" applyFill="1" applyBorder="1" applyAlignment="1">
      <alignment vertical="center"/>
    </xf>
    <xf numFmtId="41" fontId="7" fillId="39" borderId="57" xfId="0" applyNumberFormat="1" applyFont="1" applyFill="1" applyBorder="1" applyAlignment="1">
      <alignment horizontal="center" vertical="center"/>
    </xf>
    <xf numFmtId="0" fontId="7" fillId="39" borderId="16" xfId="0" applyNumberFormat="1" applyFont="1" applyFill="1" applyBorder="1" applyAlignment="1">
      <alignment horizontal="left" vertical="center"/>
    </xf>
    <xf numFmtId="41" fontId="7" fillId="39" borderId="17" xfId="0" applyNumberFormat="1" applyFont="1" applyFill="1" applyBorder="1" applyAlignment="1">
      <alignment horizontal="center" vertical="center"/>
    </xf>
    <xf numFmtId="41" fontId="7" fillId="39" borderId="17" xfId="0" applyNumberFormat="1" applyFont="1" applyFill="1" applyBorder="1" applyAlignment="1">
      <alignment horizontal="right" vertical="center"/>
    </xf>
    <xf numFmtId="0" fontId="7" fillId="39" borderId="38" xfId="0" applyNumberFormat="1" applyFont="1" applyFill="1" applyBorder="1" applyAlignment="1">
      <alignment vertical="center"/>
    </xf>
    <xf numFmtId="0" fontId="7" fillId="39" borderId="39" xfId="0" applyNumberFormat="1" applyFont="1" applyFill="1" applyBorder="1" applyAlignment="1">
      <alignment vertical="center" wrapText="1"/>
    </xf>
    <xf numFmtId="41" fontId="7" fillId="39" borderId="21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41" fontId="4" fillId="0" borderId="22" xfId="0" applyNumberFormat="1" applyFont="1" applyFill="1" applyBorder="1" applyAlignment="1">
      <alignment vertical="center"/>
    </xf>
    <xf numFmtId="41" fontId="0" fillId="0" borderId="0" xfId="0" applyNumberFormat="1" applyFill="1"/>
    <xf numFmtId="0" fontId="0" fillId="0" borderId="0" xfId="0" applyFill="1"/>
    <xf numFmtId="38" fontId="0" fillId="0" borderId="0" xfId="0" applyNumberFormat="1"/>
    <xf numFmtId="43" fontId="0" fillId="0" borderId="0" xfId="0" applyNumberFormat="1"/>
    <xf numFmtId="0" fontId="0" fillId="0" borderId="0" xfId="0" applyAlignment="1"/>
    <xf numFmtId="41" fontId="5" fillId="0" borderId="24" xfId="34" applyNumberFormat="1" applyFont="1" applyFill="1" applyBorder="1" applyAlignment="1">
      <alignment horizontal="center" vertical="center"/>
    </xf>
    <xf numFmtId="41" fontId="5" fillId="0" borderId="25" xfId="34" applyNumberFormat="1" applyFont="1" applyFill="1" applyBorder="1" applyAlignment="1">
      <alignment horizontal="center" vertical="center"/>
    </xf>
    <xf numFmtId="41" fontId="5" fillId="0" borderId="25" xfId="34" applyNumberFormat="1" applyFont="1" applyFill="1" applyBorder="1" applyAlignment="1">
      <alignment vertical="center"/>
    </xf>
    <xf numFmtId="41" fontId="5" fillId="0" borderId="17" xfId="34" applyNumberFormat="1" applyFont="1" applyFill="1" applyBorder="1" applyAlignment="1">
      <alignment vertical="center"/>
    </xf>
    <xf numFmtId="41" fontId="5" fillId="0" borderId="18" xfId="34" applyNumberFormat="1" applyFont="1" applyFill="1" applyBorder="1" applyAlignment="1">
      <alignment vertical="center"/>
    </xf>
    <xf numFmtId="41" fontId="5" fillId="2" borderId="112" xfId="34" applyNumberFormat="1" applyFont="1" applyFill="1" applyBorder="1" applyAlignment="1">
      <alignment horizontal="center"/>
    </xf>
    <xf numFmtId="41" fontId="7" fillId="0" borderId="16" xfId="34" applyNumberFormat="1" applyFont="1" applyFill="1" applyBorder="1" applyAlignment="1">
      <alignment horizontal="left"/>
    </xf>
    <xf numFmtId="41" fontId="7" fillId="0" borderId="17" xfId="34" applyNumberFormat="1" applyFont="1" applyFill="1" applyBorder="1" applyAlignment="1">
      <alignment horizontal="left"/>
    </xf>
    <xf numFmtId="41" fontId="7" fillId="0" borderId="17" xfId="34" applyNumberFormat="1" applyFont="1" applyFill="1" applyBorder="1"/>
    <xf numFmtId="37" fontId="7" fillId="0" borderId="17" xfId="34" applyFont="1" applyFill="1" applyBorder="1" applyAlignment="1">
      <alignment horizontal="right" wrapText="1"/>
    </xf>
    <xf numFmtId="41" fontId="7" fillId="0" borderId="18" xfId="34" applyNumberFormat="1" applyFont="1" applyFill="1" applyBorder="1"/>
    <xf numFmtId="0" fontId="5" fillId="0" borderId="50" xfId="0" applyNumberFormat="1" applyFont="1" applyBorder="1" applyAlignment="1">
      <alignment horizontal="center" vertical="center" wrapText="1"/>
    </xf>
    <xf numFmtId="41" fontId="7" fillId="0" borderId="0" xfId="34" applyNumberFormat="1" applyFont="1" applyFill="1" applyBorder="1" applyAlignment="1">
      <alignment vertical="center"/>
    </xf>
    <xf numFmtId="164" fontId="0" fillId="0" borderId="0" xfId="0" applyNumberFormat="1"/>
    <xf numFmtId="41" fontId="4" fillId="0" borderId="109" xfId="0" applyNumberFormat="1" applyFont="1" applyFill="1" applyBorder="1" applyAlignment="1">
      <alignment vertical="center"/>
    </xf>
    <xf numFmtId="41" fontId="4" fillId="39" borderId="109" xfId="0" applyNumberFormat="1" applyFont="1" applyFill="1" applyBorder="1" applyAlignment="1">
      <alignment vertical="center"/>
    </xf>
    <xf numFmtId="41" fontId="4" fillId="0" borderId="122" xfId="0" applyNumberFormat="1" applyFont="1" applyFill="1" applyBorder="1" applyAlignment="1">
      <alignment vertical="center"/>
    </xf>
    <xf numFmtId="41" fontId="4" fillId="0" borderId="111" xfId="0" applyNumberFormat="1" applyFont="1" applyFill="1" applyBorder="1" applyAlignment="1">
      <alignment vertical="center"/>
    </xf>
    <xf numFmtId="41" fontId="4" fillId="0" borderId="119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56" xfId="0" applyNumberFormat="1" applyFont="1" applyFill="1" applyBorder="1" applyAlignment="1">
      <alignment horizontal="left" vertical="center" wrapText="1"/>
    </xf>
    <xf numFmtId="0" fontId="5" fillId="37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42" borderId="108" xfId="0" applyFont="1" applyFill="1" applyBorder="1" applyAlignment="1">
      <alignment horizontal="center" vertical="center"/>
    </xf>
    <xf numFmtId="41" fontId="5" fillId="42" borderId="109" xfId="34" applyNumberFormat="1" applyFont="1" applyFill="1" applyBorder="1" applyAlignment="1">
      <alignment vertical="center"/>
    </xf>
    <xf numFmtId="41" fontId="5" fillId="42" borderId="19" xfId="34" applyNumberFormat="1" applyFont="1" applyFill="1" applyBorder="1" applyAlignment="1">
      <alignment vertical="center"/>
    </xf>
    <xf numFmtId="41" fontId="5" fillId="42" borderId="20" xfId="34" applyNumberFormat="1" applyFont="1" applyFill="1" applyBorder="1" applyAlignment="1">
      <alignment vertical="center"/>
    </xf>
    <xf numFmtId="41" fontId="5" fillId="37" borderId="13" xfId="34" applyNumberFormat="1" applyFont="1" applyFill="1" applyBorder="1" applyAlignment="1">
      <alignment horizontal="center" vertical="center"/>
    </xf>
    <xf numFmtId="41" fontId="5" fillId="37" borderId="14" xfId="34" applyNumberFormat="1" applyFont="1" applyFill="1" applyBorder="1" applyAlignment="1">
      <alignment horizontal="center" vertical="center"/>
    </xf>
    <xf numFmtId="41" fontId="5" fillId="37" borderId="14" xfId="34" applyNumberFormat="1" applyFont="1" applyFill="1" applyBorder="1" applyAlignment="1">
      <alignment vertical="center"/>
    </xf>
    <xf numFmtId="41" fontId="5" fillId="37" borderId="21" xfId="34" applyNumberFormat="1" applyFont="1" applyFill="1" applyBorder="1" applyAlignment="1">
      <alignment vertical="center"/>
    </xf>
    <xf numFmtId="41" fontId="5" fillId="37" borderId="22" xfId="34" applyNumberFormat="1" applyFont="1" applyFill="1" applyBorder="1" applyAlignment="1">
      <alignment vertical="center"/>
    </xf>
    <xf numFmtId="41" fontId="7" fillId="37" borderId="14" xfId="34" applyNumberFormat="1" applyFont="1" applyFill="1" applyBorder="1" applyAlignment="1" applyProtection="1">
      <alignment vertical="center"/>
      <protection locked="0"/>
    </xf>
    <xf numFmtId="41" fontId="7" fillId="37" borderId="21" xfId="34" applyNumberFormat="1" applyFont="1" applyFill="1" applyBorder="1" applyAlignment="1" applyProtection="1">
      <alignment vertical="center"/>
      <protection locked="0"/>
    </xf>
    <xf numFmtId="41" fontId="7" fillId="37" borderId="22" xfId="34" applyNumberFormat="1" applyFont="1" applyFill="1" applyBorder="1" applyAlignment="1" applyProtection="1">
      <alignment vertical="center"/>
      <protection locked="0"/>
    </xf>
    <xf numFmtId="0" fontId="4" fillId="37" borderId="13" xfId="0" applyFont="1" applyFill="1" applyBorder="1" applyAlignment="1">
      <alignment horizontal="center" vertical="center"/>
    </xf>
    <xf numFmtId="41" fontId="4" fillId="37" borderId="14" xfId="0" applyNumberFormat="1" applyFont="1" applyFill="1" applyBorder="1" applyAlignment="1">
      <alignment horizontal="center" vertical="center"/>
    </xf>
    <xf numFmtId="41" fontId="5" fillId="37" borderId="14" xfId="34" applyNumberFormat="1" applyFont="1" applyFill="1" applyBorder="1" applyAlignment="1" applyProtection="1">
      <alignment vertical="center"/>
      <protection locked="0"/>
    </xf>
    <xf numFmtId="41" fontId="5" fillId="37" borderId="21" xfId="34" applyNumberFormat="1" applyFont="1" applyFill="1" applyBorder="1" applyAlignment="1" applyProtection="1">
      <alignment vertical="center"/>
      <protection locked="0"/>
    </xf>
    <xf numFmtId="41" fontId="5" fillId="37" borderId="22" xfId="34" applyNumberFormat="1" applyFont="1" applyFill="1" applyBorder="1" applyAlignment="1" applyProtection="1">
      <alignment vertical="center"/>
      <protection locked="0"/>
    </xf>
    <xf numFmtId="41" fontId="5" fillId="37" borderId="1" xfId="0" applyNumberFormat="1" applyFont="1" applyFill="1" applyBorder="1" applyAlignment="1">
      <alignment horizontal="right" vertical="center"/>
    </xf>
    <xf numFmtId="0" fontId="0" fillId="0" borderId="52" xfId="0" applyBorder="1"/>
    <xf numFmtId="0" fontId="5" fillId="37" borderId="1" xfId="0" applyNumberFormat="1" applyFont="1" applyFill="1" applyBorder="1" applyAlignment="1">
      <alignment horizontal="center" vertical="center"/>
    </xf>
    <xf numFmtId="0" fontId="22" fillId="40" borderId="75" xfId="0" applyFont="1" applyFill="1" applyBorder="1" applyAlignment="1">
      <alignment horizontal="center" vertical="center"/>
    </xf>
    <xf numFmtId="41" fontId="4" fillId="40" borderId="76" xfId="0" applyNumberFormat="1" applyFont="1" applyFill="1" applyBorder="1" applyAlignment="1">
      <alignment horizontal="right" vertical="center"/>
    </xf>
    <xf numFmtId="41" fontId="4" fillId="40" borderId="77" xfId="0" applyNumberFormat="1" applyFont="1" applyFill="1" applyBorder="1" applyAlignment="1">
      <alignment horizontal="right" vertical="center"/>
    </xf>
    <xf numFmtId="0" fontId="22" fillId="40" borderId="36" xfId="0" applyFont="1" applyFill="1" applyBorder="1" applyAlignment="1">
      <alignment horizontal="center" vertical="center" wrapText="1"/>
    </xf>
    <xf numFmtId="41" fontId="4" fillId="40" borderId="44" xfId="0" applyNumberFormat="1" applyFont="1" applyFill="1" applyBorder="1" applyAlignment="1">
      <alignment horizontal="right" vertical="center" wrapText="1"/>
    </xf>
    <xf numFmtId="41" fontId="4" fillId="40" borderId="37" xfId="0" applyNumberFormat="1" applyFont="1" applyFill="1" applyBorder="1" applyAlignment="1">
      <alignment horizontal="right" vertical="center" wrapText="1"/>
    </xf>
    <xf numFmtId="0" fontId="22" fillId="40" borderId="39" xfId="0" applyFont="1" applyFill="1" applyBorder="1" applyAlignment="1">
      <alignment horizontal="center" vertical="center" wrapText="1"/>
    </xf>
    <xf numFmtId="41" fontId="4" fillId="40" borderId="21" xfId="0" applyNumberFormat="1" applyFont="1" applyFill="1" applyBorder="1" applyAlignment="1">
      <alignment horizontal="right" vertical="center" wrapText="1"/>
    </xf>
    <xf numFmtId="41" fontId="4" fillId="40" borderId="22" xfId="0" applyNumberFormat="1" applyFont="1" applyFill="1" applyBorder="1" applyAlignment="1">
      <alignment horizontal="right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5" fillId="40" borderId="61" xfId="0" applyFont="1" applyFill="1" applyBorder="1" applyAlignment="1">
      <alignment vertical="center" wrapText="1"/>
    </xf>
    <xf numFmtId="41" fontId="4" fillId="40" borderId="62" xfId="0" applyNumberFormat="1" applyFont="1" applyFill="1" applyBorder="1" applyAlignment="1">
      <alignment vertical="center"/>
    </xf>
    <xf numFmtId="41" fontId="4" fillId="40" borderId="65" xfId="0" applyNumberFormat="1" applyFont="1" applyFill="1" applyBorder="1" applyAlignment="1">
      <alignment vertical="center"/>
    </xf>
    <xf numFmtId="0" fontId="5" fillId="40" borderId="39" xfId="0" applyFont="1" applyFill="1" applyBorder="1" applyAlignment="1">
      <alignment vertical="center" wrapText="1"/>
    </xf>
    <xf numFmtId="41" fontId="5" fillId="40" borderId="21" xfId="0" applyNumberFormat="1" applyFont="1" applyFill="1" applyBorder="1" applyAlignment="1">
      <alignment vertical="center" wrapText="1"/>
    </xf>
    <xf numFmtId="41" fontId="4" fillId="40" borderId="21" xfId="0" applyNumberFormat="1" applyFont="1" applyFill="1" applyBorder="1" applyAlignment="1">
      <alignment vertical="center"/>
    </xf>
    <xf numFmtId="41" fontId="4" fillId="40" borderId="22" xfId="0" applyNumberFormat="1" applyFont="1" applyFill="1" applyBorder="1" applyAlignment="1">
      <alignment vertical="center"/>
    </xf>
    <xf numFmtId="41" fontId="7" fillId="40" borderId="21" xfId="0" applyNumberFormat="1" applyFont="1" applyFill="1" applyBorder="1" applyAlignment="1">
      <alignment vertical="center" wrapText="1"/>
    </xf>
    <xf numFmtId="0" fontId="5" fillId="40" borderId="39" xfId="0" applyFont="1" applyFill="1" applyBorder="1" applyAlignment="1">
      <alignment horizontal="left" vertical="center" wrapText="1"/>
    </xf>
    <xf numFmtId="41" fontId="17" fillId="40" borderId="21" xfId="0" applyNumberFormat="1" applyFont="1" applyFill="1" applyBorder="1" applyAlignment="1">
      <alignment vertical="center"/>
    </xf>
    <xf numFmtId="41" fontId="5" fillId="40" borderId="21" xfId="0" applyNumberFormat="1" applyFont="1" applyFill="1" applyBorder="1" applyAlignment="1">
      <alignment vertical="center"/>
    </xf>
    <xf numFmtId="0" fontId="4" fillId="40" borderId="79" xfId="0" applyFont="1" applyFill="1" applyBorder="1" applyAlignment="1">
      <alignment horizontal="center" vertical="center"/>
    </xf>
    <xf numFmtId="41" fontId="4" fillId="40" borderId="80" xfId="0" applyNumberFormat="1" applyFont="1" applyFill="1" applyBorder="1" applyAlignment="1">
      <alignment horizontal="center" vertical="center"/>
    </xf>
    <xf numFmtId="41" fontId="4" fillId="40" borderId="33" xfId="0" applyNumberFormat="1" applyFont="1" applyFill="1" applyBorder="1" applyAlignment="1">
      <alignment horizontal="center" vertical="center"/>
    </xf>
    <xf numFmtId="41" fontId="4" fillId="40" borderId="45" xfId="0" applyNumberFormat="1" applyFont="1" applyFill="1" applyBorder="1" applyAlignment="1">
      <alignment vertical="center"/>
    </xf>
    <xf numFmtId="41" fontId="5" fillId="37" borderId="7" xfId="0" applyNumberFormat="1" applyFont="1" applyFill="1" applyBorder="1" applyAlignment="1">
      <alignment horizontal="right" vertical="center"/>
    </xf>
    <xf numFmtId="0" fontId="5" fillId="41" borderId="52" xfId="0" applyNumberFormat="1" applyFont="1" applyFill="1" applyBorder="1" applyAlignment="1">
      <alignment horizontal="left" vertical="center"/>
    </xf>
    <xf numFmtId="41" fontId="5" fillId="41" borderId="9" xfId="0" applyNumberFormat="1" applyFont="1" applyFill="1" applyBorder="1" applyAlignment="1">
      <alignment horizontal="center" vertical="center"/>
    </xf>
    <xf numFmtId="41" fontId="5" fillId="41" borderId="9" xfId="0" applyNumberFormat="1" applyFont="1" applyFill="1" applyBorder="1" applyAlignment="1">
      <alignment horizontal="right" vertical="center"/>
    </xf>
    <xf numFmtId="41" fontId="5" fillId="41" borderId="11" xfId="0" applyNumberFormat="1" applyFont="1" applyFill="1" applyBorder="1" applyAlignment="1">
      <alignment horizontal="right" vertical="center"/>
    </xf>
    <xf numFmtId="41" fontId="5" fillId="41" borderId="9" xfId="0" applyNumberFormat="1" applyFont="1" applyFill="1" applyBorder="1"/>
    <xf numFmtId="41" fontId="5" fillId="41" borderId="9" xfId="0" applyNumberFormat="1" applyFont="1" applyFill="1" applyBorder="1" applyAlignment="1">
      <alignment horizontal="right"/>
    </xf>
    <xf numFmtId="41" fontId="5" fillId="41" borderId="11" xfId="0" applyNumberFormat="1" applyFont="1" applyFill="1" applyBorder="1" applyAlignment="1">
      <alignment horizontal="right"/>
    </xf>
    <xf numFmtId="41" fontId="5" fillId="37" borderId="6" xfId="0" applyNumberFormat="1" applyFont="1" applyFill="1" applyBorder="1" applyAlignment="1">
      <alignment horizontal="right" vertical="center"/>
    </xf>
    <xf numFmtId="41" fontId="5" fillId="37" borderId="29" xfId="0" applyNumberFormat="1" applyFont="1" applyFill="1" applyBorder="1" applyAlignment="1">
      <alignment horizontal="right" vertical="center"/>
    </xf>
    <xf numFmtId="41" fontId="17" fillId="0" borderId="53" xfId="0" applyNumberFormat="1" applyFont="1" applyFill="1" applyBorder="1" applyAlignment="1">
      <alignment horizontal="right" vertical="center"/>
    </xf>
    <xf numFmtId="41" fontId="17" fillId="0" borderId="54" xfId="0" applyNumberFormat="1" applyFont="1" applyFill="1" applyBorder="1" applyAlignment="1">
      <alignment horizontal="right" vertical="center"/>
    </xf>
    <xf numFmtId="0" fontId="5" fillId="0" borderId="83" xfId="0" applyNumberFormat="1" applyFont="1" applyBorder="1" applyAlignment="1">
      <alignment horizontal="center" vertical="center"/>
    </xf>
    <xf numFmtId="0" fontId="0" fillId="0" borderId="0" xfId="0" applyFill="1" applyBorder="1"/>
    <xf numFmtId="0" fontId="5" fillId="37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1" fontId="5" fillId="37" borderId="1" xfId="0" applyNumberFormat="1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4" fillId="41" borderId="127" xfId="0" applyFont="1" applyFill="1" applyBorder="1" applyAlignment="1">
      <alignment horizontal="center" vertical="center"/>
    </xf>
    <xf numFmtId="41" fontId="5" fillId="41" borderId="128" xfId="34" applyNumberFormat="1" applyFont="1" applyFill="1" applyBorder="1" applyAlignment="1">
      <alignment vertical="center"/>
    </xf>
    <xf numFmtId="41" fontId="4" fillId="41" borderId="127" xfId="0" applyNumberFormat="1" applyFont="1" applyFill="1" applyBorder="1" applyAlignment="1">
      <alignment horizontal="center" vertical="center"/>
    </xf>
    <xf numFmtId="41" fontId="4" fillId="41" borderId="129" xfId="0" applyNumberFormat="1" applyFont="1" applyFill="1" applyBorder="1" applyAlignment="1">
      <alignment horizontal="center" vertical="center"/>
    </xf>
    <xf numFmtId="41" fontId="7" fillId="0" borderId="13" xfId="34" applyNumberFormat="1" applyFont="1" applyFill="1" applyBorder="1" applyAlignment="1">
      <alignment vertical="center" wrapText="1"/>
    </xf>
    <xf numFmtId="41" fontId="7" fillId="0" borderId="14" xfId="34" applyNumberFormat="1" applyFont="1" applyFill="1" applyBorder="1" applyAlignment="1">
      <alignment vertical="center" wrapText="1"/>
    </xf>
    <xf numFmtId="41" fontId="7" fillId="0" borderId="13" xfId="34" applyNumberFormat="1" applyFont="1" applyFill="1" applyBorder="1" applyAlignment="1">
      <alignment horizontal="left" vertical="center" wrapText="1"/>
    </xf>
    <xf numFmtId="41" fontId="7" fillId="0" borderId="14" xfId="34" applyNumberFormat="1" applyFont="1" applyFill="1" applyBorder="1" applyAlignment="1">
      <alignment horizontal="left" vertical="center" wrapText="1"/>
    </xf>
    <xf numFmtId="41" fontId="21" fillId="0" borderId="17" xfId="0" applyNumberFormat="1" applyFont="1" applyFill="1" applyBorder="1" applyAlignment="1">
      <alignment horizontal="right" vertical="center"/>
    </xf>
    <xf numFmtId="41" fontId="21" fillId="0" borderId="18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17" fillId="40" borderId="126" xfId="0" applyNumberFormat="1" applyFont="1" applyFill="1" applyBorder="1" applyAlignment="1">
      <alignment vertical="center"/>
    </xf>
    <xf numFmtId="41" fontId="4" fillId="40" borderId="126" xfId="0" applyNumberFormat="1" applyFont="1" applyFill="1" applyBorder="1" applyAlignment="1">
      <alignment vertical="center"/>
    </xf>
    <xf numFmtId="41" fontId="4" fillId="40" borderId="130" xfId="0" applyNumberFormat="1" applyFont="1" applyFill="1" applyBorder="1" applyAlignment="1">
      <alignment vertical="center"/>
    </xf>
    <xf numFmtId="0" fontId="5" fillId="43" borderId="1" xfId="0" applyNumberFormat="1" applyFont="1" applyFill="1" applyBorder="1" applyAlignment="1">
      <alignment horizontal="center" vertical="center"/>
    </xf>
    <xf numFmtId="0" fontId="5" fillId="43" borderId="3" xfId="0" applyNumberFormat="1" applyFont="1" applyFill="1" applyBorder="1" applyAlignment="1">
      <alignment horizontal="center" vertical="center"/>
    </xf>
    <xf numFmtId="0" fontId="5" fillId="45" borderId="29" xfId="0" applyNumberFormat="1" applyFont="1" applyFill="1" applyBorder="1" applyAlignment="1">
      <alignment horizontal="center" vertical="center"/>
    </xf>
    <xf numFmtId="41" fontId="5" fillId="45" borderId="1" xfId="0" applyNumberFormat="1" applyFont="1" applyFill="1" applyBorder="1" applyAlignment="1">
      <alignment horizontal="center" vertical="center"/>
    </xf>
    <xf numFmtId="0" fontId="5" fillId="45" borderId="1" xfId="0" applyNumberFormat="1" applyFont="1" applyFill="1" applyBorder="1" applyAlignment="1">
      <alignment vertical="center"/>
    </xf>
    <xf numFmtId="0" fontId="5" fillId="45" borderId="1" xfId="0" applyNumberFormat="1" applyFont="1" applyFill="1" applyBorder="1" applyAlignment="1">
      <alignment horizontal="center" vertical="center" wrapText="1"/>
    </xf>
    <xf numFmtId="0" fontId="5" fillId="45" borderId="50" xfId="0" applyNumberFormat="1" applyFont="1" applyFill="1" applyBorder="1" applyAlignment="1">
      <alignment horizontal="center" vertical="center"/>
    </xf>
    <xf numFmtId="0" fontId="5" fillId="45" borderId="1" xfId="0" applyNumberFormat="1" applyFont="1" applyFill="1" applyBorder="1" applyAlignment="1">
      <alignment horizontal="center" vertical="center"/>
    </xf>
    <xf numFmtId="0" fontId="4" fillId="45" borderId="1" xfId="0" applyFont="1" applyFill="1" applyBorder="1" applyAlignment="1">
      <alignment horizontal="center" vertical="center"/>
    </xf>
    <xf numFmtId="41" fontId="4" fillId="45" borderId="1" xfId="0" applyNumberFormat="1" applyFont="1" applyFill="1" applyBorder="1" applyAlignment="1">
      <alignment horizontal="center" vertical="center"/>
    </xf>
    <xf numFmtId="0" fontId="0" fillId="45" borderId="73" xfId="0" applyFill="1" applyBorder="1"/>
    <xf numFmtId="0" fontId="5" fillId="45" borderId="4" xfId="0" applyNumberFormat="1" applyFont="1" applyFill="1" applyBorder="1" applyAlignment="1">
      <alignment horizontal="center" vertical="center"/>
    </xf>
    <xf numFmtId="0" fontId="5" fillId="45" borderId="5" xfId="0" applyNumberFormat="1" applyFont="1" applyFill="1" applyBorder="1" applyAlignment="1">
      <alignment horizontal="center" vertical="center"/>
    </xf>
    <xf numFmtId="0" fontId="41" fillId="45" borderId="73" xfId="0" applyNumberFormat="1" applyFont="1" applyFill="1" applyBorder="1" applyAlignment="1">
      <alignment horizontal="center" vertical="center"/>
    </xf>
    <xf numFmtId="0" fontId="5" fillId="45" borderId="50" xfId="0" applyNumberFormat="1" applyFont="1" applyFill="1" applyBorder="1" applyAlignment="1">
      <alignment horizontal="center" vertical="center" wrapText="1"/>
    </xf>
    <xf numFmtId="0" fontId="5" fillId="46" borderId="2" xfId="0" applyFont="1" applyFill="1" applyBorder="1" applyAlignment="1">
      <alignment horizontal="center" vertical="center"/>
    </xf>
    <xf numFmtId="41" fontId="4" fillId="46" borderId="2" xfId="0" applyNumberFormat="1" applyFont="1" applyFill="1" applyBorder="1" applyAlignment="1">
      <alignment vertical="center"/>
    </xf>
    <xf numFmtId="41" fontId="4" fillId="46" borderId="1" xfId="0" applyNumberFormat="1" applyFont="1" applyFill="1" applyBorder="1" applyAlignment="1">
      <alignment vertical="center"/>
    </xf>
    <xf numFmtId="41" fontId="5" fillId="46" borderId="2" xfId="0" applyNumberFormat="1" applyFont="1" applyFill="1" applyBorder="1" applyAlignment="1">
      <alignment horizontal="center" vertical="center"/>
    </xf>
    <xf numFmtId="0" fontId="4" fillId="46" borderId="74" xfId="0" applyFont="1" applyFill="1" applyBorder="1" applyAlignment="1">
      <alignment horizontal="center" vertical="center"/>
    </xf>
    <xf numFmtId="41" fontId="5" fillId="46" borderId="8" xfId="0" applyNumberFormat="1" applyFont="1" applyFill="1" applyBorder="1" applyAlignment="1">
      <alignment horizontal="right" vertical="center" wrapText="1"/>
    </xf>
    <xf numFmtId="41" fontId="5" fillId="46" borderId="3" xfId="0" applyNumberFormat="1" applyFont="1" applyFill="1" applyBorder="1" applyAlignment="1">
      <alignment horizontal="right" vertical="center" wrapText="1"/>
    </xf>
    <xf numFmtId="0" fontId="5" fillId="46" borderId="1" xfId="0" applyNumberFormat="1" applyFont="1" applyFill="1" applyBorder="1" applyAlignment="1">
      <alignment horizontal="center" vertical="center"/>
    </xf>
    <xf numFmtId="41" fontId="5" fillId="46" borderId="2" xfId="0" applyNumberFormat="1" applyFont="1" applyFill="1" applyBorder="1" applyAlignment="1">
      <alignment horizontal="right" vertical="center"/>
    </xf>
    <xf numFmtId="41" fontId="5" fillId="46" borderId="1" xfId="0" applyNumberFormat="1" applyFont="1" applyFill="1" applyBorder="1" applyAlignment="1">
      <alignment horizontal="right" vertical="center"/>
    </xf>
    <xf numFmtId="0" fontId="5" fillId="46" borderId="2" xfId="0" applyNumberFormat="1" applyFont="1" applyFill="1" applyBorder="1" applyAlignment="1">
      <alignment horizontal="center"/>
    </xf>
    <xf numFmtId="41" fontId="5" fillId="46" borderId="2" xfId="0" applyNumberFormat="1" applyFont="1" applyFill="1" applyBorder="1" applyAlignment="1">
      <alignment horizontal="right"/>
    </xf>
    <xf numFmtId="41" fontId="5" fillId="46" borderId="1" xfId="0" applyNumberFormat="1" applyFont="1" applyFill="1" applyBorder="1" applyAlignment="1">
      <alignment horizontal="right"/>
    </xf>
    <xf numFmtId="0" fontId="5" fillId="46" borderId="2" xfId="0" applyNumberFormat="1" applyFont="1" applyFill="1" applyBorder="1" applyAlignment="1">
      <alignment horizontal="center" vertical="center"/>
    </xf>
    <xf numFmtId="0" fontId="5" fillId="46" borderId="51" xfId="0" applyNumberFormat="1" applyFont="1" applyFill="1" applyBorder="1" applyAlignment="1">
      <alignment horizontal="center" vertical="center"/>
    </xf>
    <xf numFmtId="41" fontId="5" fillId="46" borderId="51" xfId="0" applyNumberFormat="1" applyFont="1" applyFill="1" applyBorder="1" applyAlignment="1">
      <alignment horizontal="right" vertical="center"/>
    </xf>
    <xf numFmtId="41" fontId="5" fillId="46" borderId="49" xfId="0" applyNumberFormat="1" applyFont="1" applyFill="1" applyBorder="1" applyAlignment="1">
      <alignment horizontal="right" vertical="center"/>
    </xf>
    <xf numFmtId="41" fontId="17" fillId="46" borderId="126" xfId="0" applyNumberFormat="1" applyFont="1" applyFill="1" applyBorder="1" applyAlignment="1">
      <alignment vertical="center"/>
    </xf>
    <xf numFmtId="41" fontId="4" fillId="46" borderId="6" xfId="0" applyNumberFormat="1" applyFont="1" applyFill="1" applyBorder="1" applyAlignment="1">
      <alignment vertical="center"/>
    </xf>
    <xf numFmtId="41" fontId="4" fillId="46" borderId="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41" fontId="17" fillId="0" borderId="25" xfId="0" applyNumberFormat="1" applyFont="1" applyFill="1" applyBorder="1" applyAlignment="1">
      <alignment vertical="center"/>
    </xf>
    <xf numFmtId="41" fontId="17" fillId="0" borderId="107" xfId="0" applyNumberFormat="1" applyFont="1" applyFill="1" applyBorder="1" applyAlignment="1">
      <alignment vertical="center"/>
    </xf>
    <xf numFmtId="0" fontId="42" fillId="45" borderId="2" xfId="0" applyFont="1" applyFill="1" applyBorder="1" applyAlignment="1">
      <alignment horizontal="center" vertical="center"/>
    </xf>
    <xf numFmtId="0" fontId="42" fillId="45" borderId="1" xfId="0" applyFont="1" applyFill="1" applyBorder="1" applyAlignment="1">
      <alignment horizontal="center" vertical="center"/>
    </xf>
    <xf numFmtId="0" fontId="42" fillId="45" borderId="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/>
    </xf>
    <xf numFmtId="41" fontId="4" fillId="0" borderId="21" xfId="0" applyNumberFormat="1" applyFont="1" applyFill="1" applyBorder="1" applyAlignment="1">
      <alignment horizontal="right" vertical="center" wrapText="1"/>
    </xf>
    <xf numFmtId="41" fontId="4" fillId="0" borderId="22" xfId="0" applyNumberFormat="1" applyFont="1" applyFill="1" applyBorder="1" applyAlignment="1">
      <alignment horizontal="right" vertical="center" wrapText="1"/>
    </xf>
    <xf numFmtId="0" fontId="5" fillId="37" borderId="55" xfId="0" applyNumberFormat="1" applyFont="1" applyFill="1" applyBorder="1" applyAlignment="1">
      <alignment horizontal="center" vertical="center"/>
    </xf>
    <xf numFmtId="41" fontId="5" fillId="37" borderId="20" xfId="0" applyNumberFormat="1" applyFont="1" applyFill="1" applyBorder="1" applyAlignment="1">
      <alignment horizontal="center" vertical="center"/>
    </xf>
    <xf numFmtId="0" fontId="5" fillId="37" borderId="59" xfId="0" applyNumberFormat="1" applyFont="1" applyFill="1" applyBorder="1" applyAlignment="1">
      <alignment horizontal="center" vertical="center"/>
    </xf>
    <xf numFmtId="41" fontId="46" fillId="37" borderId="18" xfId="0" applyNumberFormat="1" applyFont="1" applyFill="1" applyBorder="1" applyAlignment="1">
      <alignment horizontal="center" vertical="center"/>
    </xf>
    <xf numFmtId="165" fontId="0" fillId="0" borderId="0" xfId="0" applyNumberFormat="1"/>
    <xf numFmtId="43" fontId="0" fillId="0" borderId="0" xfId="46" applyFont="1"/>
    <xf numFmtId="0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55" xfId="0" applyNumberFormat="1" applyFont="1" applyBorder="1" applyAlignment="1">
      <alignment vertical="center" wrapText="1"/>
    </xf>
    <xf numFmtId="0" fontId="4" fillId="37" borderId="61" xfId="0" applyFont="1" applyFill="1" applyBorder="1" applyAlignment="1">
      <alignment horizontal="center" vertical="center"/>
    </xf>
    <xf numFmtId="41" fontId="5" fillId="37" borderId="65" xfId="0" applyNumberFormat="1" applyFont="1" applyFill="1" applyBorder="1" applyAlignment="1">
      <alignment horizontal="right" vertical="center"/>
    </xf>
    <xf numFmtId="0" fontId="4" fillId="37" borderId="39" xfId="0" applyFont="1" applyFill="1" applyBorder="1" applyAlignment="1">
      <alignment horizontal="center" vertical="center" wrapText="1"/>
    </xf>
    <xf numFmtId="0" fontId="5" fillId="46" borderId="1" xfId="0" applyNumberFormat="1" applyFont="1" applyFill="1" applyBorder="1" applyAlignment="1">
      <alignment horizontal="right" vertical="center"/>
    </xf>
    <xf numFmtId="165" fontId="5" fillId="46" borderId="1" xfId="46" applyNumberFormat="1" applyFont="1" applyFill="1" applyBorder="1" applyAlignment="1">
      <alignment horizontal="center" vertical="center"/>
    </xf>
    <xf numFmtId="0" fontId="5" fillId="45" borderId="73" xfId="0" applyNumberFormat="1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/>
    </xf>
    <xf numFmtId="0" fontId="4" fillId="40" borderId="21" xfId="0" applyFont="1" applyFill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1" fontId="17" fillId="0" borderId="22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0" fontId="7" fillId="39" borderId="56" xfId="0" applyNumberFormat="1" applyFont="1" applyFill="1" applyBorder="1" applyAlignment="1">
      <alignment horizontal="left" vertical="center" wrapText="1"/>
    </xf>
    <xf numFmtId="166" fontId="0" fillId="0" borderId="0" xfId="37" applyNumberFormat="1" applyFont="1"/>
    <xf numFmtId="0" fontId="17" fillId="39" borderId="51" xfId="0" applyFont="1" applyFill="1" applyBorder="1" applyAlignment="1">
      <alignment horizontal="left" vertical="center" wrapText="1"/>
    </xf>
    <xf numFmtId="41" fontId="17" fillId="39" borderId="48" xfId="0" applyNumberFormat="1" applyFont="1" applyFill="1" applyBorder="1" applyAlignment="1">
      <alignment horizontal="right" vertical="center"/>
    </xf>
    <xf numFmtId="41" fontId="17" fillId="39" borderId="48" xfId="0" applyNumberFormat="1" applyFont="1" applyFill="1" applyBorder="1" applyAlignment="1">
      <alignment horizontal="right" vertical="center" wrapText="1"/>
    </xf>
    <xf numFmtId="41" fontId="17" fillId="3" borderId="48" xfId="0" applyNumberFormat="1" applyFont="1" applyFill="1" applyBorder="1" applyAlignment="1">
      <alignment horizontal="right" vertical="center" wrapText="1"/>
    </xf>
    <xf numFmtId="41" fontId="17" fillId="3" borderId="4" xfId="0" applyNumberFormat="1" applyFont="1" applyFill="1" applyBorder="1" applyAlignment="1">
      <alignment horizontal="righ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41" fontId="17" fillId="0" borderId="18" xfId="0" applyNumberFormat="1" applyFont="1" applyFill="1" applyBorder="1" applyAlignment="1">
      <alignment horizontal="right" vertical="center" wrapText="1"/>
    </xf>
    <xf numFmtId="0" fontId="4" fillId="46" borderId="61" xfId="0" applyFont="1" applyFill="1" applyBorder="1" applyAlignment="1">
      <alignment horizontal="center" vertical="center"/>
    </xf>
    <xf numFmtId="0" fontId="4" fillId="46" borderId="62" xfId="0" applyFont="1" applyFill="1" applyBorder="1" applyAlignment="1">
      <alignment horizontal="center" vertical="center"/>
    </xf>
    <xf numFmtId="41" fontId="5" fillId="46" borderId="65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wrapText="1"/>
    </xf>
    <xf numFmtId="0" fontId="17" fillId="47" borderId="39" xfId="0" applyFont="1" applyFill="1" applyBorder="1" applyAlignment="1">
      <alignment horizontal="left" vertical="center" wrapText="1"/>
    </xf>
    <xf numFmtId="41" fontId="17" fillId="47" borderId="21" xfId="0" applyNumberFormat="1" applyFont="1" applyFill="1" applyBorder="1" applyAlignment="1">
      <alignment horizontal="right" vertical="center"/>
    </xf>
    <xf numFmtId="41" fontId="17" fillId="47" borderId="21" xfId="0" applyNumberFormat="1" applyFont="1" applyFill="1" applyBorder="1" applyAlignment="1">
      <alignment horizontal="right" vertical="center" wrapText="1"/>
    </xf>
    <xf numFmtId="0" fontId="17" fillId="48" borderId="39" xfId="0" applyFont="1" applyFill="1" applyBorder="1" applyAlignment="1">
      <alignment horizontal="left" vertical="center" wrapText="1"/>
    </xf>
    <xf numFmtId="41" fontId="17" fillId="48" borderId="21" xfId="0" applyNumberFormat="1" applyFont="1" applyFill="1" applyBorder="1" applyAlignment="1">
      <alignment horizontal="right" vertical="center"/>
    </xf>
    <xf numFmtId="41" fontId="17" fillId="48" borderId="21" xfId="0" applyNumberFormat="1" applyFont="1" applyFill="1" applyBorder="1" applyAlignment="1">
      <alignment horizontal="right" vertical="center" wrapText="1"/>
    </xf>
    <xf numFmtId="0" fontId="7" fillId="0" borderId="23" xfId="35" applyFont="1" applyFill="1" applyBorder="1" applyAlignment="1">
      <alignment horizontal="left" vertical="center"/>
    </xf>
    <xf numFmtId="0" fontId="7" fillId="0" borderId="86" xfId="35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7" fillId="0" borderId="23" xfId="35" applyFont="1" applyFill="1" applyBorder="1" applyAlignment="1">
      <alignment vertical="center"/>
    </xf>
    <xf numFmtId="0" fontId="7" fillId="0" borderId="86" xfId="35" applyFont="1" applyFill="1" applyBorder="1" applyAlignment="1">
      <alignment vertical="center"/>
    </xf>
    <xf numFmtId="0" fontId="5" fillId="46" borderId="2" xfId="35" applyFont="1" applyFill="1" applyBorder="1" applyAlignment="1">
      <alignment horizontal="center" vertical="center"/>
    </xf>
    <xf numFmtId="0" fontId="5" fillId="46" borderId="29" xfId="35" applyFont="1" applyFill="1" applyBorder="1" applyAlignment="1">
      <alignment horizontal="center" vertical="center"/>
    </xf>
    <xf numFmtId="0" fontId="5" fillId="0" borderId="23" xfId="35" applyFont="1" applyFill="1" applyBorder="1" applyAlignment="1">
      <alignment horizontal="left" vertical="center"/>
    </xf>
    <xf numFmtId="0" fontId="5" fillId="0" borderId="86" xfId="35" applyFont="1" applyFill="1" applyBorder="1" applyAlignment="1">
      <alignment horizontal="left" vertical="center"/>
    </xf>
    <xf numFmtId="0" fontId="4" fillId="40" borderId="2" xfId="0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4" fillId="40" borderId="118" xfId="0" applyFont="1" applyFill="1" applyBorder="1" applyAlignment="1">
      <alignment horizontal="center" vertical="center"/>
    </xf>
    <xf numFmtId="0" fontId="5" fillId="45" borderId="2" xfId="0" applyNumberFormat="1" applyFont="1" applyFill="1" applyBorder="1" applyAlignment="1">
      <alignment horizontal="center" vertical="center"/>
    </xf>
    <xf numFmtId="0" fontId="5" fillId="45" borderId="29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23" xfId="0" applyFont="1" applyFill="1" applyBorder="1" applyAlignment="1">
      <alignment horizontal="left" vertical="center"/>
    </xf>
    <xf numFmtId="0" fontId="4" fillId="0" borderId="124" xfId="0" applyFont="1" applyFill="1" applyBorder="1" applyAlignment="1">
      <alignment horizontal="left" vertical="center"/>
    </xf>
    <xf numFmtId="0" fontId="5" fillId="0" borderId="39" xfId="35" applyFont="1" applyFill="1" applyBorder="1" applyAlignment="1">
      <alignment vertical="center"/>
    </xf>
    <xf numFmtId="0" fontId="5" fillId="0" borderId="70" xfId="35" applyFont="1" applyFill="1" applyBorder="1" applyAlignment="1">
      <alignment vertical="center"/>
    </xf>
    <xf numFmtId="0" fontId="5" fillId="0" borderId="86" xfId="35" applyFont="1" applyFill="1" applyBorder="1" applyAlignment="1">
      <alignment vertical="center"/>
    </xf>
    <xf numFmtId="0" fontId="5" fillId="0" borderId="39" xfId="35" applyFont="1" applyFill="1" applyBorder="1" applyAlignment="1">
      <alignment horizontal="left" vertical="center"/>
    </xf>
    <xf numFmtId="0" fontId="5" fillId="0" borderId="70" xfId="35" applyFont="1" applyFill="1" applyBorder="1" applyAlignment="1">
      <alignment horizontal="left" vertical="center"/>
    </xf>
    <xf numFmtId="0" fontId="4" fillId="43" borderId="74" xfId="0" applyFont="1" applyFill="1" applyBorder="1" applyAlignment="1">
      <alignment horizontal="center"/>
    </xf>
    <xf numFmtId="0" fontId="4" fillId="43" borderId="87" xfId="0" applyFont="1" applyFill="1" applyBorder="1" applyAlignment="1">
      <alignment horizontal="center"/>
    </xf>
    <xf numFmtId="0" fontId="4" fillId="43" borderId="88" xfId="0" applyFont="1" applyFill="1" applyBorder="1" applyAlignment="1">
      <alignment horizontal="center"/>
    </xf>
    <xf numFmtId="0" fontId="6" fillId="43" borderId="52" xfId="0" applyFont="1" applyFill="1" applyBorder="1" applyAlignment="1">
      <alignment horizontal="center" wrapText="1"/>
    </xf>
    <xf numFmtId="0" fontId="6" fillId="43" borderId="0" xfId="0" applyFont="1" applyFill="1" applyBorder="1" applyAlignment="1">
      <alignment horizontal="center" wrapText="1"/>
    </xf>
    <xf numFmtId="0" fontId="6" fillId="43" borderId="89" xfId="0" applyFont="1" applyFill="1" applyBorder="1" applyAlignment="1">
      <alignment horizontal="center" wrapText="1"/>
    </xf>
    <xf numFmtId="0" fontId="4" fillId="43" borderId="51" xfId="0" applyFont="1" applyFill="1" applyBorder="1" applyAlignment="1">
      <alignment horizontal="center" vertical="center" wrapText="1"/>
    </xf>
    <xf numFmtId="0" fontId="4" fillId="43" borderId="73" xfId="0" applyFont="1" applyFill="1" applyBorder="1" applyAlignment="1">
      <alignment horizontal="center" vertical="center" wrapText="1"/>
    </xf>
    <xf numFmtId="0" fontId="4" fillId="43" borderId="90" xfId="0" applyFont="1" applyFill="1" applyBorder="1" applyAlignment="1">
      <alignment horizontal="center" vertical="center" wrapText="1"/>
    </xf>
    <xf numFmtId="0" fontId="5" fillId="43" borderId="2" xfId="0" applyNumberFormat="1" applyFont="1" applyFill="1" applyBorder="1" applyAlignment="1">
      <alignment horizontal="center" vertical="center"/>
    </xf>
    <xf numFmtId="0" fontId="5" fillId="43" borderId="29" xfId="0" applyNumberFormat="1" applyFont="1" applyFill="1" applyBorder="1" applyAlignment="1">
      <alignment horizontal="center" vertical="center"/>
    </xf>
    <xf numFmtId="0" fontId="5" fillId="43" borderId="91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120" xfId="0" applyFont="1" applyFill="1" applyBorder="1" applyAlignment="1">
      <alignment horizontal="left" vertical="center"/>
    </xf>
    <xf numFmtId="0" fontId="4" fillId="0" borderId="121" xfId="0" applyFont="1" applyFill="1" applyBorder="1" applyAlignment="1">
      <alignment horizontal="left" vertical="center"/>
    </xf>
    <xf numFmtId="0" fontId="5" fillId="37" borderId="2" xfId="0" applyNumberFormat="1" applyFont="1" applyFill="1" applyBorder="1" applyAlignment="1">
      <alignment horizontal="center" vertical="center"/>
    </xf>
    <xf numFmtId="0" fontId="5" fillId="37" borderId="29" xfId="0" applyNumberFormat="1" applyFont="1" applyFill="1" applyBorder="1" applyAlignment="1">
      <alignment horizontal="center" vertical="center"/>
    </xf>
    <xf numFmtId="0" fontId="5" fillId="37" borderId="9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91" xfId="0" applyNumberFormat="1" applyFont="1" applyFill="1" applyBorder="1" applyAlignment="1">
      <alignment horizontal="center" vertical="center"/>
    </xf>
    <xf numFmtId="0" fontId="4" fillId="44" borderId="51" xfId="0" applyFont="1" applyFill="1" applyBorder="1" applyAlignment="1">
      <alignment horizontal="center" vertical="center" wrapText="1"/>
    </xf>
    <xf numFmtId="0" fontId="4" fillId="44" borderId="73" xfId="0" applyFont="1" applyFill="1" applyBorder="1" applyAlignment="1">
      <alignment horizontal="center" vertical="center" wrapText="1"/>
    </xf>
    <xf numFmtId="0" fontId="4" fillId="44" borderId="90" xfId="0" applyFont="1" applyFill="1" applyBorder="1" applyAlignment="1">
      <alignment horizontal="center" vertical="center" wrapText="1"/>
    </xf>
    <xf numFmtId="0" fontId="5" fillId="45" borderId="51" xfId="0" applyNumberFormat="1" applyFont="1" applyFill="1" applyBorder="1" applyAlignment="1">
      <alignment horizontal="center" vertical="center"/>
    </xf>
    <xf numFmtId="0" fontId="5" fillId="45" borderId="73" xfId="0" applyNumberFormat="1" applyFont="1" applyFill="1" applyBorder="1" applyAlignment="1">
      <alignment horizontal="center" vertical="center"/>
    </xf>
    <xf numFmtId="0" fontId="5" fillId="45" borderId="9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105" xfId="0" applyFont="1" applyFill="1" applyBorder="1" applyAlignment="1">
      <alignment horizontal="left" vertical="center"/>
    </xf>
    <xf numFmtId="0" fontId="4" fillId="44" borderId="74" xfId="0" applyFont="1" applyFill="1" applyBorder="1" applyAlignment="1">
      <alignment horizontal="center"/>
    </xf>
    <xf numFmtId="0" fontId="4" fillId="44" borderId="87" xfId="0" applyFont="1" applyFill="1" applyBorder="1" applyAlignment="1">
      <alignment horizontal="center"/>
    </xf>
    <xf numFmtId="0" fontId="4" fillId="44" borderId="88" xfId="0" applyFont="1" applyFill="1" applyBorder="1" applyAlignment="1">
      <alignment horizontal="center"/>
    </xf>
    <xf numFmtId="0" fontId="5" fillId="0" borderId="125" xfId="35" applyFont="1" applyFill="1" applyBorder="1" applyAlignment="1">
      <alignment horizontal="left" vertical="center"/>
    </xf>
    <xf numFmtId="0" fontId="5" fillId="0" borderId="121" xfId="35" applyFont="1" applyFill="1" applyBorder="1" applyAlignment="1">
      <alignment horizontal="left" vertical="center"/>
    </xf>
    <xf numFmtId="0" fontId="7" fillId="0" borderId="26" xfId="35" applyFont="1" applyFill="1" applyBorder="1" applyAlignment="1">
      <alignment vertical="center"/>
    </xf>
    <xf numFmtId="0" fontId="7" fillId="0" borderId="131" xfId="35" applyFont="1" applyFill="1" applyBorder="1" applyAlignment="1">
      <alignment vertical="center"/>
    </xf>
    <xf numFmtId="0" fontId="5" fillId="0" borderId="56" xfId="35" applyFont="1" applyFill="1" applyBorder="1" applyAlignment="1">
      <alignment horizontal="left" vertical="center"/>
    </xf>
    <xf numFmtId="0" fontId="5" fillId="0" borderId="123" xfId="35" applyFont="1" applyFill="1" applyBorder="1" applyAlignment="1">
      <alignment horizontal="left" vertical="center"/>
    </xf>
    <xf numFmtId="0" fontId="5" fillId="0" borderId="124" xfId="35" applyFont="1" applyFill="1" applyBorder="1" applyAlignment="1">
      <alignment horizontal="left" vertical="center"/>
    </xf>
    <xf numFmtId="0" fontId="6" fillId="44" borderId="52" xfId="0" applyFont="1" applyFill="1" applyBorder="1" applyAlignment="1">
      <alignment horizontal="center" wrapText="1"/>
    </xf>
    <xf numFmtId="0" fontId="6" fillId="44" borderId="0" xfId="0" applyFont="1" applyFill="1" applyBorder="1" applyAlignment="1">
      <alignment horizontal="center" wrapText="1"/>
    </xf>
    <xf numFmtId="0" fontId="6" fillId="44" borderId="89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91" xfId="0" applyNumberFormat="1" applyFont="1" applyBorder="1" applyAlignment="1">
      <alignment horizontal="center" vertical="center" wrapText="1"/>
    </xf>
    <xf numFmtId="0" fontId="8" fillId="44" borderId="52" xfId="0" applyNumberFormat="1" applyFont="1" applyFill="1" applyBorder="1" applyAlignment="1">
      <alignment horizontal="center" vertical="center"/>
    </xf>
    <xf numFmtId="0" fontId="0" fillId="44" borderId="0" xfId="0" applyFill="1" applyBorder="1"/>
    <xf numFmtId="0" fontId="0" fillId="44" borderId="89" xfId="0" applyFill="1" applyBorder="1"/>
    <xf numFmtId="0" fontId="41" fillId="44" borderId="51" xfId="0" applyNumberFormat="1" applyFont="1" applyFill="1" applyBorder="1" applyAlignment="1">
      <alignment horizontal="center" vertical="center"/>
    </xf>
    <xf numFmtId="0" fontId="0" fillId="44" borderId="73" xfId="0" applyFill="1" applyBorder="1"/>
    <xf numFmtId="0" fontId="0" fillId="44" borderId="90" xfId="0" applyFill="1" applyBorder="1"/>
    <xf numFmtId="0" fontId="5" fillId="45" borderId="74" xfId="0" applyNumberFormat="1" applyFont="1" applyFill="1" applyBorder="1" applyAlignment="1">
      <alignment horizontal="center" vertical="center"/>
    </xf>
    <xf numFmtId="0" fontId="5" fillId="45" borderId="51" xfId="0" applyNumberFormat="1" applyFont="1" applyFill="1" applyBorder="1" applyAlignment="1">
      <alignment horizontal="center" vertical="center" wrapText="1"/>
    </xf>
    <xf numFmtId="0" fontId="5" fillId="45" borderId="73" xfId="0" applyNumberFormat="1" applyFont="1" applyFill="1" applyBorder="1" applyAlignment="1">
      <alignment horizontal="center" vertical="center" wrapText="1"/>
    </xf>
    <xf numFmtId="0" fontId="5" fillId="45" borderId="90" xfId="0" applyNumberFormat="1" applyFont="1" applyFill="1" applyBorder="1" applyAlignment="1">
      <alignment horizontal="center" vertical="center" wrapText="1"/>
    </xf>
    <xf numFmtId="0" fontId="8" fillId="44" borderId="0" xfId="0" applyNumberFormat="1" applyFont="1" applyFill="1" applyBorder="1" applyAlignment="1">
      <alignment horizontal="center" vertical="center"/>
    </xf>
    <xf numFmtId="0" fontId="8" fillId="44" borderId="89" xfId="0" applyNumberFormat="1" applyFont="1" applyFill="1" applyBorder="1" applyAlignment="1">
      <alignment horizontal="center" vertical="center"/>
    </xf>
    <xf numFmtId="0" fontId="41" fillId="44" borderId="73" xfId="0" applyNumberFormat="1" applyFont="1" applyFill="1" applyBorder="1" applyAlignment="1">
      <alignment horizontal="center" vertical="center"/>
    </xf>
    <xf numFmtId="0" fontId="41" fillId="44" borderId="90" xfId="0" applyNumberFormat="1" applyFont="1" applyFill="1" applyBorder="1" applyAlignment="1">
      <alignment horizontal="center" vertical="center"/>
    </xf>
    <xf numFmtId="0" fontId="8" fillId="44" borderId="52" xfId="0" applyNumberFormat="1" applyFont="1" applyFill="1" applyBorder="1" applyAlignment="1">
      <alignment horizontal="center"/>
    </xf>
    <xf numFmtId="0" fontId="8" fillId="44" borderId="0" xfId="0" applyNumberFormat="1" applyFont="1" applyFill="1" applyBorder="1" applyAlignment="1">
      <alignment horizontal="center"/>
    </xf>
    <xf numFmtId="0" fontId="8" fillId="44" borderId="89" xfId="0" applyNumberFormat="1" applyFont="1" applyFill="1" applyBorder="1" applyAlignment="1">
      <alignment horizontal="center"/>
    </xf>
    <xf numFmtId="0" fontId="5" fillId="45" borderId="5" xfId="0" applyNumberFormat="1" applyFont="1" applyFill="1" applyBorder="1" applyAlignment="1">
      <alignment horizontal="center" vertical="center"/>
    </xf>
    <xf numFmtId="0" fontId="5" fillId="45" borderId="50" xfId="0" applyNumberFormat="1" applyFont="1" applyFill="1" applyBorder="1" applyAlignment="1">
      <alignment horizontal="center" vertical="center"/>
    </xf>
    <xf numFmtId="0" fontId="41" fillId="44" borderId="51" xfId="0" applyNumberFormat="1" applyFont="1" applyFill="1" applyBorder="1" applyAlignment="1">
      <alignment horizontal="center"/>
    </xf>
    <xf numFmtId="0" fontId="41" fillId="44" borderId="73" xfId="0" applyNumberFormat="1" applyFont="1" applyFill="1" applyBorder="1" applyAlignment="1">
      <alignment horizontal="center"/>
    </xf>
    <xf numFmtId="0" fontId="41" fillId="44" borderId="90" xfId="0" applyNumberFormat="1" applyFont="1" applyFill="1" applyBorder="1" applyAlignment="1">
      <alignment horizontal="center"/>
    </xf>
    <xf numFmtId="0" fontId="6" fillId="44" borderId="52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 vertical="center"/>
    </xf>
    <xf numFmtId="0" fontId="6" fillId="44" borderId="89" xfId="0" applyFont="1" applyFill="1" applyBorder="1" applyAlignment="1">
      <alignment horizontal="center" vertical="center"/>
    </xf>
    <xf numFmtId="0" fontId="4" fillId="44" borderId="52" xfId="0" applyFont="1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 vertical="center"/>
    </xf>
    <xf numFmtId="0" fontId="4" fillId="44" borderId="89" xfId="0" applyFont="1" applyFill="1" applyBorder="1" applyAlignment="1">
      <alignment horizontal="center" vertical="center"/>
    </xf>
    <xf numFmtId="0" fontId="4" fillId="44" borderId="51" xfId="0" applyFont="1" applyFill="1" applyBorder="1" applyAlignment="1">
      <alignment horizontal="center" vertical="center"/>
    </xf>
    <xf numFmtId="0" fontId="4" fillId="44" borderId="73" xfId="0" applyFont="1" applyFill="1" applyBorder="1" applyAlignment="1">
      <alignment horizontal="center" vertical="center"/>
    </xf>
    <xf numFmtId="0" fontId="4" fillId="44" borderId="90" xfId="0" applyFont="1" applyFill="1" applyBorder="1" applyAlignment="1">
      <alignment horizontal="center" vertical="center"/>
    </xf>
    <xf numFmtId="0" fontId="5" fillId="45" borderId="83" xfId="0" applyNumberFormat="1" applyFont="1" applyFill="1" applyBorder="1" applyAlignment="1">
      <alignment horizontal="center" vertical="center"/>
    </xf>
    <xf numFmtId="0" fontId="5" fillId="45" borderId="2" xfId="0" applyNumberFormat="1" applyFont="1" applyFill="1" applyBorder="1" applyAlignment="1">
      <alignment horizontal="center" vertical="center" wrapText="1"/>
    </xf>
    <xf numFmtId="0" fontId="5" fillId="45" borderId="91" xfId="0" applyNumberFormat="1" applyFont="1" applyFill="1" applyBorder="1" applyAlignment="1">
      <alignment horizontal="center" vertical="center" wrapText="1"/>
    </xf>
    <xf numFmtId="0" fontId="12" fillId="44" borderId="51" xfId="0" applyFont="1" applyFill="1" applyBorder="1" applyAlignment="1">
      <alignment horizontal="center" vertical="center"/>
    </xf>
    <xf numFmtId="0" fontId="12" fillId="44" borderId="73" xfId="0" applyFont="1" applyFill="1" applyBorder="1" applyAlignment="1">
      <alignment horizontal="center" vertical="center"/>
    </xf>
    <xf numFmtId="0" fontId="12" fillId="44" borderId="90" xfId="0" applyFont="1" applyFill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112" xfId="0" applyFont="1" applyBorder="1"/>
    <xf numFmtId="0" fontId="42" fillId="0" borderId="42" xfId="0" applyFont="1" applyBorder="1" applyAlignment="1">
      <alignment horizontal="center" vertical="center" wrapText="1"/>
    </xf>
    <xf numFmtId="0" fontId="42" fillId="0" borderId="42" xfId="0" applyFont="1" applyBorder="1"/>
    <xf numFmtId="0" fontId="42" fillId="0" borderId="115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 wrapText="1"/>
    </xf>
    <xf numFmtId="0" fontId="45" fillId="44" borderId="52" xfId="0" applyFont="1" applyFill="1" applyBorder="1" applyAlignment="1">
      <alignment horizontal="center"/>
    </xf>
    <xf numFmtId="0" fontId="45" fillId="44" borderId="0" xfId="0" applyFont="1" applyFill="1" applyBorder="1" applyAlignment="1">
      <alignment horizontal="center"/>
    </xf>
    <xf numFmtId="0" fontId="45" fillId="44" borderId="89" xfId="0" applyFont="1" applyFill="1" applyBorder="1" applyAlignment="1">
      <alignment horizontal="center"/>
    </xf>
    <xf numFmtId="0" fontId="42" fillId="0" borderId="113" xfId="0" applyFont="1" applyBorder="1" applyAlignment="1">
      <alignment horizontal="center" vertical="center"/>
    </xf>
    <xf numFmtId="0" fontId="42" fillId="0" borderId="11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44" borderId="74" xfId="0" applyFont="1" applyFill="1" applyBorder="1" applyAlignment="1">
      <alignment horizontal="center"/>
    </xf>
    <xf numFmtId="0" fontId="42" fillId="44" borderId="87" xfId="0" applyFont="1" applyFill="1" applyBorder="1" applyAlignment="1">
      <alignment horizontal="center"/>
    </xf>
    <xf numFmtId="0" fontId="42" fillId="44" borderId="88" xfId="0" applyFont="1" applyFill="1" applyBorder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43" fontId="42" fillId="0" borderId="54" xfId="46" applyFont="1" applyBorder="1" applyAlignment="1">
      <alignment horizontal="center" vertical="center"/>
    </xf>
    <xf numFmtId="43" fontId="42" fillId="0" borderId="33" xfId="46" applyFont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3" borderId="74" xfId="0" applyFont="1" applyFill="1" applyBorder="1" applyAlignment="1">
      <alignment horizontal="center" vertical="center"/>
    </xf>
    <xf numFmtId="0" fontId="6" fillId="43" borderId="87" xfId="0" applyFont="1" applyFill="1" applyBorder="1" applyAlignment="1">
      <alignment horizontal="center" vertical="center"/>
    </xf>
    <xf numFmtId="0" fontId="6" fillId="43" borderId="88" xfId="0" applyFont="1" applyFill="1" applyBorder="1" applyAlignment="1">
      <alignment horizontal="center" vertical="center"/>
    </xf>
    <xf numFmtId="0" fontId="4" fillId="43" borderId="51" xfId="0" applyFont="1" applyFill="1" applyBorder="1" applyAlignment="1">
      <alignment horizontal="center" vertical="center"/>
    </xf>
    <xf numFmtId="0" fontId="4" fillId="43" borderId="73" xfId="0" applyFont="1" applyFill="1" applyBorder="1" applyAlignment="1">
      <alignment horizontal="center" vertical="center"/>
    </xf>
    <xf numFmtId="0" fontId="4" fillId="43" borderId="90" xfId="0" applyFont="1" applyFill="1" applyBorder="1" applyAlignment="1">
      <alignment horizontal="center" vertical="center"/>
    </xf>
    <xf numFmtId="0" fontId="6" fillId="43" borderId="52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center" vertical="center"/>
    </xf>
    <xf numFmtId="0" fontId="6" fillId="43" borderId="8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90" xfId="0" applyNumberFormat="1" applyFont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73" xfId="0" applyNumberFormat="1" applyFont="1" applyFill="1" applyBorder="1" applyAlignment="1">
      <alignment horizontal="center" vertical="center" wrapText="1"/>
    </xf>
    <xf numFmtId="0" fontId="5" fillId="0" borderId="90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wrapText="1"/>
    </xf>
    <xf numFmtId="0" fontId="5" fillId="0" borderId="90" xfId="0" applyNumberFormat="1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/>
    </xf>
    <xf numFmtId="0" fontId="8" fillId="0" borderId="87" xfId="0" applyNumberFormat="1" applyFont="1" applyBorder="1" applyAlignment="1">
      <alignment horizontal="center" vertical="center"/>
    </xf>
    <xf numFmtId="0" fontId="8" fillId="0" borderId="88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41" fillId="0" borderId="51" xfId="0" applyNumberFormat="1" applyFont="1" applyBorder="1" applyAlignment="1">
      <alignment horizontal="center" vertical="center"/>
    </xf>
    <xf numFmtId="0" fontId="41" fillId="0" borderId="73" xfId="0" applyNumberFormat="1" applyFont="1" applyBorder="1" applyAlignment="1">
      <alignment horizontal="center" vertical="center"/>
    </xf>
    <xf numFmtId="0" fontId="41" fillId="0" borderId="90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/>
    </xf>
    <xf numFmtId="0" fontId="8" fillId="0" borderId="87" xfId="0" applyNumberFormat="1" applyFont="1" applyBorder="1" applyAlignment="1">
      <alignment horizontal="center"/>
    </xf>
    <xf numFmtId="0" fontId="8" fillId="0" borderId="8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92" xfId="0" applyNumberFormat="1" applyFont="1" applyBorder="1" applyAlignment="1">
      <alignment horizontal="center" vertical="center"/>
    </xf>
    <xf numFmtId="0" fontId="5" fillId="0" borderId="93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91" xfId="0" applyNumberFormat="1" applyFont="1" applyBorder="1" applyAlignment="1">
      <alignment horizont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xcel Built-in Normal" xfId="31"/>
    <cellStyle name="Incorrecto" xfId="32" builtinId="27" customBuiltin="1"/>
    <cellStyle name="Millares" xfId="46" builtinId="3"/>
    <cellStyle name="Neutral" xfId="33" builtinId="28" customBuiltin="1"/>
    <cellStyle name="Normal" xfId="0" builtinId="0" customBuiltin="1"/>
    <cellStyle name="Normal 2" xfId="34"/>
    <cellStyle name="Normal_Hoja11" xfId="35"/>
    <cellStyle name="Notas" xfId="36" builtinId="10" customBuiltin="1"/>
    <cellStyle name="Porcentaje" xfId="37" builtinId="5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C993FF"/>
      <color rgb="FFFF61D6"/>
      <color rgb="FFFFAA2D"/>
      <color rgb="FFF3BEF4"/>
      <color rgb="FFFF9900"/>
      <color rgb="FFBA75FF"/>
      <color rgb="FFA54BFF"/>
      <color rgb="FFFFC671"/>
      <color rgb="FFD000D0"/>
      <color rgb="FFFF4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ySplit="4" topLeftCell="A5" activePane="bottomLeft" state="frozen"/>
      <selection activeCell="C31" sqref="C31"/>
      <selection pane="bottomLeft" activeCell="H7" sqref="H7"/>
    </sheetView>
  </sheetViews>
  <sheetFormatPr baseColWidth="10" defaultRowHeight="15" customHeight="1" x14ac:dyDescent="0.25"/>
  <cols>
    <col min="1" max="1" width="1.5703125" customWidth="1"/>
    <col min="2" max="2" width="2.5703125" customWidth="1"/>
    <col min="3" max="3" width="33.85546875" style="1" bestFit="1" customWidth="1"/>
    <col min="4" max="5" width="13.140625" style="1" hidden="1" customWidth="1"/>
    <col min="6" max="6" width="13.28515625" hidden="1" customWidth="1"/>
    <col min="7" max="7" width="13.140625" hidden="1" customWidth="1"/>
    <col min="8" max="8" width="13.42578125" bestFit="1" customWidth="1"/>
    <col min="9" max="9" width="12.7109375" bestFit="1" customWidth="1"/>
    <col min="10" max="11" width="12" bestFit="1" customWidth="1"/>
    <col min="12" max="14" width="11.5703125" bestFit="1" customWidth="1"/>
    <col min="15" max="15" width="13.140625" bestFit="1" customWidth="1"/>
    <col min="16" max="18" width="11.5703125" bestFit="1" customWidth="1"/>
  </cols>
  <sheetData>
    <row r="1" spans="1:18" ht="15" customHeight="1" x14ac:dyDescent="0.25">
      <c r="A1" s="766"/>
      <c r="B1" s="767"/>
      <c r="C1" s="767"/>
      <c r="D1" s="767"/>
      <c r="E1" s="767"/>
      <c r="F1" s="767"/>
      <c r="G1" s="767"/>
      <c r="H1" s="767"/>
      <c r="I1" s="767"/>
      <c r="J1" s="767"/>
      <c r="K1" s="768"/>
    </row>
    <row r="2" spans="1:18" ht="19.5" customHeight="1" x14ac:dyDescent="0.3">
      <c r="A2" s="769" t="s">
        <v>349</v>
      </c>
      <c r="B2" s="770"/>
      <c r="C2" s="770"/>
      <c r="D2" s="770"/>
      <c r="E2" s="770"/>
      <c r="F2" s="770"/>
      <c r="G2" s="770"/>
      <c r="H2" s="770"/>
      <c r="I2" s="770"/>
      <c r="J2" s="770"/>
      <c r="K2" s="771"/>
    </row>
    <row r="3" spans="1:18" ht="19.5" customHeight="1" thickBot="1" x14ac:dyDescent="0.3">
      <c r="A3" s="772" t="s">
        <v>0</v>
      </c>
      <c r="B3" s="773"/>
      <c r="C3" s="773"/>
      <c r="D3" s="773"/>
      <c r="E3" s="773"/>
      <c r="F3" s="773"/>
      <c r="G3" s="773"/>
      <c r="H3" s="773"/>
      <c r="I3" s="773"/>
      <c r="J3" s="773"/>
      <c r="K3" s="774"/>
    </row>
    <row r="4" spans="1:18" ht="20.100000000000001" customHeight="1" thickBot="1" x14ac:dyDescent="0.3">
      <c r="A4" s="775" t="s">
        <v>1</v>
      </c>
      <c r="B4" s="776"/>
      <c r="C4" s="777"/>
      <c r="D4" s="654" t="s">
        <v>3</v>
      </c>
      <c r="E4" s="654" t="s">
        <v>4</v>
      </c>
      <c r="F4" s="654" t="s">
        <v>3</v>
      </c>
      <c r="G4" s="654" t="s">
        <v>4</v>
      </c>
      <c r="H4" s="655" t="s">
        <v>5</v>
      </c>
      <c r="I4" s="654" t="s">
        <v>6</v>
      </c>
      <c r="J4" s="654" t="s">
        <v>7</v>
      </c>
      <c r="K4" s="654" t="s">
        <v>8</v>
      </c>
      <c r="P4" s="548"/>
      <c r="Q4" s="548"/>
      <c r="R4" s="548"/>
    </row>
    <row r="5" spans="1:18" ht="20.100000000000001" customHeight="1" thickBot="1" x14ac:dyDescent="0.3">
      <c r="A5" s="756" t="s">
        <v>327</v>
      </c>
      <c r="B5" s="757"/>
      <c r="C5" s="757"/>
      <c r="D5" s="656"/>
      <c r="E5" s="656"/>
      <c r="F5" s="656"/>
      <c r="G5" s="656"/>
      <c r="H5" s="657">
        <f>SUM(H6:H10)</f>
        <v>19453754</v>
      </c>
      <c r="I5" s="657">
        <f t="shared" ref="I5:K5" si="0">SUM(I6:I10)</f>
        <v>9426706</v>
      </c>
      <c r="J5" s="657">
        <f t="shared" si="0"/>
        <v>8197994</v>
      </c>
      <c r="K5" s="657">
        <f t="shared" si="0"/>
        <v>1829054</v>
      </c>
      <c r="P5" s="548"/>
      <c r="Q5" s="548"/>
      <c r="R5" s="548"/>
    </row>
    <row r="6" spans="1:18" ht="20.100000000000001" customHeight="1" x14ac:dyDescent="0.25">
      <c r="A6" s="744" t="s">
        <v>328</v>
      </c>
      <c r="B6" s="745"/>
      <c r="C6" s="746" t="s">
        <v>328</v>
      </c>
      <c r="D6" s="8"/>
      <c r="E6" s="8"/>
      <c r="F6" s="8"/>
      <c r="G6" s="8"/>
      <c r="H6" s="8">
        <f>SUM(I6:K6)</f>
        <v>1074299</v>
      </c>
      <c r="I6" s="8">
        <f>'Ingresos Totales 2'!G4</f>
        <v>1074299</v>
      </c>
      <c r="J6" s="8"/>
      <c r="K6" s="9"/>
      <c r="P6" s="548"/>
      <c r="Q6" s="548"/>
      <c r="R6" s="548"/>
    </row>
    <row r="7" spans="1:18" ht="20.100000000000001" customHeight="1" x14ac:dyDescent="0.25">
      <c r="A7" s="744" t="s">
        <v>329</v>
      </c>
      <c r="B7" s="745"/>
      <c r="C7" s="746" t="s">
        <v>329</v>
      </c>
      <c r="D7" s="8"/>
      <c r="E7" s="8"/>
      <c r="F7" s="8"/>
      <c r="G7" s="8"/>
      <c r="H7" s="8">
        <f t="shared" ref="H7:H10" si="1">SUM(I7:K7)</f>
        <v>7892372</v>
      </c>
      <c r="I7" s="8">
        <f>'Ingresos Totales 2'!G11+'Ingresos Totales 2'!G15+'Ingresos Totales 2'!G18+'Ingresos Totales 2'!G21+'Ingresos Totales 2'!G22</f>
        <v>7892372</v>
      </c>
      <c r="J7" s="8"/>
      <c r="K7" s="9"/>
      <c r="P7" s="548"/>
      <c r="Q7" s="548"/>
      <c r="R7" s="548"/>
    </row>
    <row r="8" spans="1:18" ht="20.100000000000001" customHeight="1" x14ac:dyDescent="0.25">
      <c r="A8" s="744" t="s">
        <v>330</v>
      </c>
      <c r="B8" s="745"/>
      <c r="C8" s="746" t="s">
        <v>330</v>
      </c>
      <c r="D8" s="8"/>
      <c r="E8" s="8"/>
      <c r="F8" s="8"/>
      <c r="G8" s="8"/>
      <c r="H8" s="8">
        <f t="shared" si="1"/>
        <v>8197994</v>
      </c>
      <c r="I8" s="8"/>
      <c r="J8" s="8">
        <f>'Ingresos Totales 2'!H24</f>
        <v>8197994</v>
      </c>
      <c r="K8" s="9"/>
      <c r="P8" s="548"/>
      <c r="Q8" s="548"/>
      <c r="R8" s="548"/>
    </row>
    <row r="9" spans="1:18" ht="20.100000000000001" customHeight="1" x14ac:dyDescent="0.25">
      <c r="A9" s="758" t="s">
        <v>331</v>
      </c>
      <c r="B9" s="759"/>
      <c r="C9" s="760" t="s">
        <v>65</v>
      </c>
      <c r="D9" s="566"/>
      <c r="E9" s="566"/>
      <c r="F9" s="566"/>
      <c r="G9" s="566"/>
      <c r="H9" s="566">
        <f t="shared" si="1"/>
        <v>1829054</v>
      </c>
      <c r="I9" s="566"/>
      <c r="J9" s="566"/>
      <c r="K9" s="567">
        <f>'Ingresos Totales 2'!I3</f>
        <v>1829054</v>
      </c>
      <c r="P9" s="548"/>
      <c r="Q9" s="548"/>
      <c r="R9" s="548"/>
    </row>
    <row r="10" spans="1:18" ht="20.100000000000001" customHeight="1" thickBot="1" x14ac:dyDescent="0.3">
      <c r="A10" s="744" t="s">
        <v>572</v>
      </c>
      <c r="B10" s="745"/>
      <c r="C10" s="746"/>
      <c r="D10" s="8"/>
      <c r="E10" s="8"/>
      <c r="F10" s="8"/>
      <c r="G10" s="8"/>
      <c r="H10" s="8">
        <f t="shared" si="1"/>
        <v>460035</v>
      </c>
      <c r="I10" s="8">
        <f>'Ingresos Totales 2'!G41</f>
        <v>460035</v>
      </c>
      <c r="J10" s="8"/>
      <c r="K10" s="9"/>
      <c r="P10" s="548"/>
      <c r="Q10" s="548"/>
      <c r="R10" s="548"/>
    </row>
    <row r="11" spans="1:18" s="545" customFormat="1" ht="8.25" customHeight="1" thickBot="1" x14ac:dyDescent="0.3">
      <c r="A11" s="784"/>
      <c r="B11" s="785"/>
      <c r="C11" s="785"/>
      <c r="D11" s="785"/>
      <c r="E11" s="785"/>
      <c r="F11" s="785"/>
      <c r="G11" s="785"/>
      <c r="H11" s="785"/>
      <c r="I11" s="785"/>
      <c r="J11" s="785"/>
      <c r="K11" s="786"/>
      <c r="P11" s="635"/>
      <c r="Q11" s="635"/>
      <c r="R11" s="635"/>
    </row>
    <row r="12" spans="1:18" s="545" customFormat="1" ht="16.5" thickBot="1" x14ac:dyDescent="0.3">
      <c r="A12" s="781" t="s">
        <v>348</v>
      </c>
      <c r="B12" s="782"/>
      <c r="C12" s="783"/>
      <c r="D12" s="634"/>
      <c r="E12" s="634"/>
      <c r="F12" s="634"/>
      <c r="G12" s="634"/>
      <c r="H12" s="636">
        <f>H13+H14+H15+H16+H17+H18+H23+H27+H28</f>
        <v>19453753.759999998</v>
      </c>
      <c r="I12" s="636">
        <f t="shared" ref="I12:K12" si="2">I13+I14+I15+I16+I17+I18+I23+I27+I28</f>
        <v>9426705.7599999998</v>
      </c>
      <c r="J12" s="636">
        <f t="shared" si="2"/>
        <v>8197994</v>
      </c>
      <c r="K12" s="636">
        <f t="shared" si="2"/>
        <v>1829054</v>
      </c>
      <c r="P12" s="635"/>
      <c r="Q12" s="635"/>
      <c r="R12" s="635"/>
    </row>
    <row r="13" spans="1:18" ht="20.100000000000001" customHeight="1" x14ac:dyDescent="0.25">
      <c r="A13" s="778" t="s">
        <v>9</v>
      </c>
      <c r="B13" s="779"/>
      <c r="C13" s="780"/>
      <c r="D13" s="563">
        <f>'anexo 2'!B31</f>
        <v>252000</v>
      </c>
      <c r="E13" s="563">
        <f>'anexo 2'!C31</f>
        <v>298176</v>
      </c>
      <c r="F13" s="563">
        <f>'anexo 2'!D31</f>
        <v>288616</v>
      </c>
      <c r="G13" s="563">
        <f>'anexo 2'!E31</f>
        <v>355022</v>
      </c>
      <c r="H13" s="564">
        <f t="shared" ref="H13:H35" si="3">SUM(I13:K13)</f>
        <v>395000</v>
      </c>
      <c r="I13" s="563">
        <f>SUM('anexo 2'!G31)</f>
        <v>390246</v>
      </c>
      <c r="J13" s="563">
        <f>SUM('anexo 2'!H31)</f>
        <v>0</v>
      </c>
      <c r="K13" s="565">
        <f>SUM('anexo 2'!I31)</f>
        <v>4754</v>
      </c>
      <c r="N13" s="5"/>
      <c r="O13" s="5"/>
      <c r="P13" s="547"/>
      <c r="Q13" s="547"/>
      <c r="R13" s="547"/>
    </row>
    <row r="14" spans="1:18" ht="20.100000000000001" customHeight="1" x14ac:dyDescent="0.25">
      <c r="A14" s="744" t="s">
        <v>10</v>
      </c>
      <c r="B14" s="745"/>
      <c r="C14" s="746"/>
      <c r="D14" s="8">
        <f>'anexo 3'!B24</f>
        <v>360592</v>
      </c>
      <c r="E14" s="8">
        <f>'anexo 3'!C24</f>
        <v>372670</v>
      </c>
      <c r="F14" s="8">
        <f>'anexo 3'!D24</f>
        <v>403230</v>
      </c>
      <c r="G14" s="8">
        <f>'anexo 3'!E24</f>
        <v>403230</v>
      </c>
      <c r="H14" s="8">
        <f t="shared" si="3"/>
        <v>567198</v>
      </c>
      <c r="I14" s="8">
        <f>SUM('anexo 3'!G24)</f>
        <v>567198</v>
      </c>
      <c r="J14" s="8">
        <f>SUM('anexo 3'!H24)</f>
        <v>0</v>
      </c>
      <c r="K14" s="9">
        <f>SUM('anexo 3'!I24)</f>
        <v>0</v>
      </c>
      <c r="N14" s="5"/>
      <c r="O14" s="5"/>
      <c r="P14" s="547"/>
      <c r="Q14" s="547"/>
      <c r="R14" s="547"/>
    </row>
    <row r="15" spans="1:18" ht="20.100000000000001" customHeight="1" x14ac:dyDescent="0.25">
      <c r="A15" s="744" t="s">
        <v>11</v>
      </c>
      <c r="B15" s="745"/>
      <c r="C15" s="746"/>
      <c r="D15" s="8">
        <f>'anexo 4'!B25</f>
        <v>75414</v>
      </c>
      <c r="E15" s="8">
        <f>'anexo 4'!C25</f>
        <v>79024</v>
      </c>
      <c r="F15" s="8">
        <f>'anexo 4'!D25</f>
        <v>87101</v>
      </c>
      <c r="G15" s="8">
        <f>'anexo 4'!E25</f>
        <v>90273</v>
      </c>
      <c r="H15" s="516">
        <f t="shared" si="3"/>
        <v>105113</v>
      </c>
      <c r="I15" s="8">
        <f>SUM('anexo 4'!G25)</f>
        <v>105113</v>
      </c>
      <c r="J15" s="8">
        <f>SUM('anexo 4'!H25)</f>
        <v>0</v>
      </c>
      <c r="K15" s="9">
        <f>SUM('anexo 4'!I25)</f>
        <v>0</v>
      </c>
      <c r="M15" s="5"/>
      <c r="N15" s="5"/>
      <c r="O15" s="5"/>
      <c r="P15" s="547"/>
      <c r="Q15" s="547"/>
      <c r="R15" s="547"/>
    </row>
    <row r="16" spans="1:18" ht="20.100000000000001" customHeight="1" x14ac:dyDescent="0.25">
      <c r="A16" s="744" t="s">
        <v>12</v>
      </c>
      <c r="B16" s="745"/>
      <c r="C16" s="746"/>
      <c r="D16" s="8">
        <v>12500</v>
      </c>
      <c r="E16" s="8">
        <f>2636+2702+2636+5393</f>
        <v>13367</v>
      </c>
      <c r="F16" s="8">
        <v>14500</v>
      </c>
      <c r="G16" s="8">
        <v>14500</v>
      </c>
      <c r="H16" s="8">
        <f t="shared" si="3"/>
        <v>14500</v>
      </c>
      <c r="I16" s="8">
        <v>14500</v>
      </c>
      <c r="J16" s="8">
        <v>0</v>
      </c>
      <c r="K16" s="9">
        <v>0</v>
      </c>
      <c r="M16" s="5"/>
      <c r="N16" s="5"/>
      <c r="O16" s="5"/>
      <c r="P16" s="547"/>
      <c r="Q16" s="547"/>
      <c r="R16" s="547"/>
    </row>
    <row r="17" spans="1:18" ht="20.100000000000001" customHeight="1" x14ac:dyDescent="0.25">
      <c r="A17" s="764" t="s">
        <v>13</v>
      </c>
      <c r="B17" s="765"/>
      <c r="C17" s="752"/>
      <c r="D17" s="8" t="e">
        <f>'anexo 5'!#REF!</f>
        <v>#REF!</v>
      </c>
      <c r="E17" s="8" t="e">
        <f>'anexo 5'!#REF!</f>
        <v>#REF!</v>
      </c>
      <c r="F17" s="8" t="e">
        <f>'anexo 5'!#REF!</f>
        <v>#REF!</v>
      </c>
      <c r="G17" s="8" t="e">
        <f>'anexo 5'!#REF!</f>
        <v>#REF!</v>
      </c>
      <c r="H17" s="8">
        <f t="shared" si="3"/>
        <v>28750</v>
      </c>
      <c r="I17" s="8">
        <f>SUM('anexo 5'!C42)</f>
        <v>28750</v>
      </c>
      <c r="J17" s="8">
        <f>SUM('anexo 5'!D42)</f>
        <v>0</v>
      </c>
      <c r="K17" s="9">
        <f>SUM('anexo 5'!E42)</f>
        <v>0</v>
      </c>
      <c r="M17" s="5"/>
      <c r="N17" s="5"/>
      <c r="O17" s="5"/>
      <c r="P17" s="547"/>
      <c r="Q17" s="547"/>
      <c r="R17" s="547"/>
    </row>
    <row r="18" spans="1:18" ht="20.100000000000001" customHeight="1" x14ac:dyDescent="0.25">
      <c r="A18" s="764" t="s">
        <v>14</v>
      </c>
      <c r="B18" s="765"/>
      <c r="C18" s="752"/>
      <c r="D18" s="8" t="e">
        <f>D19+D20+D21+D23+D27</f>
        <v>#REF!</v>
      </c>
      <c r="E18" s="8" t="e">
        <f>E19+E20+E21+E23+E27</f>
        <v>#REF!</v>
      </c>
      <c r="F18" s="8" t="e">
        <f>F19+F20+F21+F23+F27</f>
        <v>#REF!</v>
      </c>
      <c r="G18" s="8" t="e">
        <f>G19+G20+G21+G23+G27</f>
        <v>#REF!</v>
      </c>
      <c r="H18" s="8">
        <f>H21+H20+H19</f>
        <v>2668852</v>
      </c>
      <c r="I18" s="8">
        <f t="shared" ref="I18:K18" si="4">I21+I20+I19</f>
        <v>2206570</v>
      </c>
      <c r="J18" s="8">
        <f t="shared" si="4"/>
        <v>462282</v>
      </c>
      <c r="K18" s="9">
        <f t="shared" si="4"/>
        <v>0</v>
      </c>
      <c r="M18" s="5"/>
      <c r="N18" s="5"/>
      <c r="O18" s="5"/>
      <c r="P18" s="547"/>
      <c r="Q18" s="547"/>
      <c r="R18" s="547"/>
    </row>
    <row r="19" spans="1:18" ht="20.100000000000001" customHeight="1" x14ac:dyDescent="0.25">
      <c r="A19" s="7"/>
      <c r="B19" s="751" t="s">
        <v>15</v>
      </c>
      <c r="C19" s="752"/>
      <c r="D19" s="8" t="e">
        <f>'anexo 6'!#REF!</f>
        <v>#REF!</v>
      </c>
      <c r="E19" s="8" t="e">
        <f>'anexo 6'!#REF!</f>
        <v>#REF!</v>
      </c>
      <c r="F19" s="8" t="e">
        <f>'anexo 6'!#REF!</f>
        <v>#REF!</v>
      </c>
      <c r="G19" s="8" t="e">
        <f>'anexo 6'!#REF!</f>
        <v>#REF!</v>
      </c>
      <c r="H19" s="8">
        <f t="shared" si="3"/>
        <v>1716182</v>
      </c>
      <c r="I19" s="8">
        <f>SUM('anexo 6'!B30)</f>
        <v>1716182</v>
      </c>
      <c r="J19" s="8">
        <v>0</v>
      </c>
      <c r="K19" s="9">
        <v>0</v>
      </c>
      <c r="M19" s="5"/>
      <c r="N19" s="5"/>
      <c r="O19" s="5"/>
      <c r="P19" s="547"/>
      <c r="Q19" s="547"/>
      <c r="R19" s="547"/>
    </row>
    <row r="20" spans="1:18" ht="20.100000000000001" customHeight="1" x14ac:dyDescent="0.25">
      <c r="A20" s="7"/>
      <c r="B20" s="751" t="s">
        <v>16</v>
      </c>
      <c r="C20" s="752"/>
      <c r="D20" s="8" t="e">
        <f>'anexo 6'!#REF!</f>
        <v>#REF!</v>
      </c>
      <c r="E20" s="8" t="e">
        <f>'anexo 6'!#REF!</f>
        <v>#REF!</v>
      </c>
      <c r="F20" s="8" t="e">
        <f>'anexo 6'!#REF!</f>
        <v>#REF!</v>
      </c>
      <c r="G20" s="8" t="e">
        <f>'anexo 6'!#REF!</f>
        <v>#REF!</v>
      </c>
      <c r="H20" s="8">
        <f t="shared" si="3"/>
        <v>15000</v>
      </c>
      <c r="I20" s="8">
        <f>SUM('anexo 6'!B32)</f>
        <v>15000</v>
      </c>
      <c r="J20" s="8">
        <v>0</v>
      </c>
      <c r="K20" s="9">
        <v>0</v>
      </c>
      <c r="M20" s="5"/>
      <c r="N20" s="5"/>
      <c r="O20" s="5"/>
      <c r="P20" s="547"/>
      <c r="Q20" s="547"/>
      <c r="R20" s="547"/>
    </row>
    <row r="21" spans="1:18" ht="20.100000000000001" customHeight="1" x14ac:dyDescent="0.25">
      <c r="A21" s="7"/>
      <c r="B21" s="751" t="s">
        <v>17</v>
      </c>
      <c r="C21" s="752"/>
      <c r="D21" s="8" t="e">
        <f>SUM(D22:D22)</f>
        <v>#REF!</v>
      </c>
      <c r="E21" s="8" t="e">
        <f>SUM(E22:E22)</f>
        <v>#REF!</v>
      </c>
      <c r="F21" s="8" t="e">
        <f>SUM(F22:F22)</f>
        <v>#REF!</v>
      </c>
      <c r="G21" s="8" t="e">
        <f>SUM(G22:G22)</f>
        <v>#REF!</v>
      </c>
      <c r="H21" s="8">
        <f t="shared" si="3"/>
        <v>937670</v>
      </c>
      <c r="I21" s="8">
        <f>SUM(I22:I22)</f>
        <v>475388</v>
      </c>
      <c r="J21" s="8">
        <f>SUM(J22:J22)</f>
        <v>462282</v>
      </c>
      <c r="K21" s="9">
        <f>SUM(K22:K22)</f>
        <v>0</v>
      </c>
      <c r="M21" s="5"/>
      <c r="N21" s="5"/>
      <c r="O21" s="5"/>
      <c r="P21" s="547"/>
      <c r="Q21" s="547"/>
      <c r="R21" s="547"/>
    </row>
    <row r="22" spans="1:18" ht="20.100000000000001" customHeight="1" x14ac:dyDescent="0.25">
      <c r="A22" s="10"/>
      <c r="B22" s="11"/>
      <c r="C22" s="12" t="s">
        <v>18</v>
      </c>
      <c r="D22" s="13" t="e">
        <f>'anexo 7'!#REF!</f>
        <v>#REF!</v>
      </c>
      <c r="E22" s="13" t="e">
        <f>'anexo 7'!#REF!</f>
        <v>#REF!</v>
      </c>
      <c r="F22" s="13" t="e">
        <f>'anexo 7'!#REF!</f>
        <v>#REF!</v>
      </c>
      <c r="G22" s="13" t="e">
        <f>'anexo 7'!#REF!</f>
        <v>#REF!</v>
      </c>
      <c r="H22" s="13">
        <f t="shared" si="3"/>
        <v>937670</v>
      </c>
      <c r="I22" s="13">
        <f>'anexo 7'!G34</f>
        <v>475388</v>
      </c>
      <c r="J22" s="13">
        <f>'anexo 7'!H34</f>
        <v>462282</v>
      </c>
      <c r="K22" s="14">
        <f>'anexo 7'!I34</f>
        <v>0</v>
      </c>
      <c r="N22" s="5"/>
      <c r="P22" s="547"/>
      <c r="Q22" s="547"/>
      <c r="R22" s="547"/>
    </row>
    <row r="23" spans="1:18" ht="20.100000000000001" customHeight="1" x14ac:dyDescent="0.25">
      <c r="A23" s="15"/>
      <c r="B23" s="751" t="s">
        <v>21</v>
      </c>
      <c r="C23" s="752"/>
      <c r="D23" s="8">
        <f>SUM(D24:D26)</f>
        <v>8789668</v>
      </c>
      <c r="E23" s="8" t="e">
        <f>SUM(E24:E26)</f>
        <v>#REF!</v>
      </c>
      <c r="F23" s="8">
        <f>SUM(F24:F26)</f>
        <v>9128994</v>
      </c>
      <c r="G23" s="8" t="e">
        <f>SUM(G24:G26)</f>
        <v>#REF!</v>
      </c>
      <c r="H23" s="8">
        <f t="shared" si="3"/>
        <v>11275750.25</v>
      </c>
      <c r="I23" s="8">
        <f>SUM(I24:I26)</f>
        <v>3278946.25</v>
      </c>
      <c r="J23" s="8">
        <f>SUM(J24:J26)</f>
        <v>6292504</v>
      </c>
      <c r="K23" s="9">
        <f>SUM(K24:K26)</f>
        <v>1704300</v>
      </c>
      <c r="M23" s="5"/>
      <c r="N23" s="5"/>
      <c r="O23" s="547"/>
      <c r="P23" s="547"/>
      <c r="Q23" s="547"/>
      <c r="R23" s="547"/>
    </row>
    <row r="24" spans="1:18" ht="20.100000000000001" customHeight="1" x14ac:dyDescent="0.25">
      <c r="A24" s="15"/>
      <c r="B24" s="11"/>
      <c r="C24" s="16" t="s">
        <v>22</v>
      </c>
      <c r="D24" s="13">
        <v>2153445</v>
      </c>
      <c r="E24" s="13" t="e">
        <f>'anexo 8 '!#REF!</f>
        <v>#REF!</v>
      </c>
      <c r="F24" s="13">
        <v>2419232</v>
      </c>
      <c r="G24" s="13" t="e">
        <f>'anexo 8 '!#REF!</f>
        <v>#REF!</v>
      </c>
      <c r="H24" s="13">
        <f t="shared" si="3"/>
        <v>3278946.25</v>
      </c>
      <c r="I24" s="13">
        <f>'anexo 8 '!C6</f>
        <v>3278946.25</v>
      </c>
      <c r="J24" s="13">
        <v>0</v>
      </c>
      <c r="K24" s="14">
        <v>0</v>
      </c>
      <c r="L24" s="5"/>
      <c r="M24" s="5"/>
      <c r="N24" s="5"/>
      <c r="P24" s="547"/>
      <c r="Q24" s="547"/>
      <c r="R24" s="547"/>
    </row>
    <row r="25" spans="1:18" ht="20.100000000000001" customHeight="1" x14ac:dyDescent="0.25">
      <c r="A25" s="15"/>
      <c r="B25" s="11"/>
      <c r="C25" s="16" t="s">
        <v>20</v>
      </c>
      <c r="D25" s="13">
        <v>5430800</v>
      </c>
      <c r="E25" s="13">
        <v>5745487</v>
      </c>
      <c r="F25" s="13">
        <v>5660388</v>
      </c>
      <c r="G25" s="13" t="e">
        <f>'anexo 8 '!#REF!</f>
        <v>#REF!</v>
      </c>
      <c r="H25" s="13">
        <f t="shared" si="3"/>
        <v>6292504</v>
      </c>
      <c r="I25" s="13"/>
      <c r="J25" s="13">
        <f>'anexo 8 '!D6</f>
        <v>6292504</v>
      </c>
      <c r="K25" s="14">
        <v>0</v>
      </c>
      <c r="N25" s="5"/>
      <c r="Q25" s="547"/>
      <c r="R25" s="547"/>
    </row>
    <row r="26" spans="1:18" ht="20.100000000000001" customHeight="1" x14ac:dyDescent="0.25">
      <c r="A26" s="15"/>
      <c r="B26" s="11"/>
      <c r="C26" s="16" t="s">
        <v>19</v>
      </c>
      <c r="D26" s="13">
        <v>1205423</v>
      </c>
      <c r="E26" s="13">
        <v>1850311</v>
      </c>
      <c r="F26" s="13">
        <v>1049374</v>
      </c>
      <c r="G26" s="13" t="e">
        <f>'anexo 8 '!#REF!</f>
        <v>#REF!</v>
      </c>
      <c r="H26" s="13">
        <f t="shared" si="3"/>
        <v>1704300</v>
      </c>
      <c r="I26" s="13"/>
      <c r="J26" s="13"/>
      <c r="K26" s="14">
        <f>'anexo 8 '!E6</f>
        <v>1704300</v>
      </c>
      <c r="M26" s="5"/>
      <c r="N26" s="5"/>
      <c r="Q26" s="547"/>
      <c r="R26" s="547"/>
    </row>
    <row r="27" spans="1:18" ht="20.100000000000001" customHeight="1" x14ac:dyDescent="0.25">
      <c r="A27" s="15"/>
      <c r="B27" s="751" t="s">
        <v>23</v>
      </c>
      <c r="C27" s="752"/>
      <c r="D27" s="8">
        <f>anexo9!B33</f>
        <v>39456</v>
      </c>
      <c r="E27" s="8">
        <f>anexo9!C33</f>
        <v>31677</v>
      </c>
      <c r="F27" s="8" t="e">
        <f>anexo9!D33</f>
        <v>#REF!</v>
      </c>
      <c r="G27" s="8" t="e">
        <f>anexo9!E33</f>
        <v>#REF!</v>
      </c>
      <c r="H27" s="8">
        <f t="shared" si="3"/>
        <v>577184</v>
      </c>
      <c r="I27" s="8">
        <f>anexo9!G33</f>
        <v>398450</v>
      </c>
      <c r="J27" s="8">
        <f>anexo9!H33</f>
        <v>178734</v>
      </c>
      <c r="K27" s="9">
        <f>anexo9!I33</f>
        <v>0</v>
      </c>
      <c r="N27" s="5"/>
      <c r="O27" s="547"/>
      <c r="P27" s="547"/>
      <c r="Q27" s="547"/>
      <c r="R27" s="547"/>
    </row>
    <row r="28" spans="1:18" ht="20.100000000000001" customHeight="1" x14ac:dyDescent="0.25">
      <c r="A28" s="761" t="s">
        <v>24</v>
      </c>
      <c r="B28" s="762"/>
      <c r="C28" s="763"/>
      <c r="D28" s="8">
        <f>SUM(D29:D31,D34:D35)</f>
        <v>2896389</v>
      </c>
      <c r="E28" s="8">
        <f>SUM(E29:E31,E34:E35)</f>
        <v>3183246</v>
      </c>
      <c r="F28" s="8">
        <f>SUM(F29:F31,F34:F35)</f>
        <v>3195206</v>
      </c>
      <c r="G28" s="8">
        <f>SUM(G29:G31,G34:G35)</f>
        <v>3579199</v>
      </c>
      <c r="H28" s="8">
        <f t="shared" si="3"/>
        <v>3821406.51</v>
      </c>
      <c r="I28" s="8">
        <f>SUM(I29:I31,I34:I35)</f>
        <v>2436932.5099999998</v>
      </c>
      <c r="J28" s="8">
        <f>SUM(J29:J31,J34:J35)</f>
        <v>1264474</v>
      </c>
      <c r="K28" s="9">
        <f>SUM(K29:K31,K34:K35)</f>
        <v>120000</v>
      </c>
      <c r="N28" s="5"/>
      <c r="O28" s="547"/>
      <c r="P28" s="547"/>
      <c r="Q28" s="547"/>
      <c r="R28" s="547"/>
    </row>
    <row r="29" spans="1:18" ht="20.100000000000001" customHeight="1" x14ac:dyDescent="0.25">
      <c r="A29" s="15"/>
      <c r="B29" s="747" t="s">
        <v>25</v>
      </c>
      <c r="C29" s="748"/>
      <c r="D29" s="13">
        <f>'anexo 10'!B15</f>
        <v>76000</v>
      </c>
      <c r="E29" s="13">
        <f>'anexo 10'!C15</f>
        <v>159378</v>
      </c>
      <c r="F29" s="13">
        <f>'anexo 10'!D15</f>
        <v>85000</v>
      </c>
      <c r="G29" s="13">
        <f>'anexo 10'!E15</f>
        <v>149582</v>
      </c>
      <c r="H29" s="13">
        <f t="shared" si="3"/>
        <v>120000</v>
      </c>
      <c r="I29" s="13">
        <f>'anexo 10'!G15</f>
        <v>0</v>
      </c>
      <c r="J29" s="13">
        <f>'anexo 10'!H15</f>
        <v>0</v>
      </c>
      <c r="K29" s="14">
        <f>'anexo 10'!I15</f>
        <v>120000</v>
      </c>
      <c r="N29" s="5"/>
      <c r="Q29" s="547"/>
    </row>
    <row r="30" spans="1:18" ht="20.100000000000001" customHeight="1" x14ac:dyDescent="0.25">
      <c r="A30" s="15"/>
      <c r="B30" s="742" t="s">
        <v>437</v>
      </c>
      <c r="C30" s="743"/>
      <c r="D30" s="13"/>
      <c r="E30" s="13"/>
      <c r="F30" s="13"/>
      <c r="G30" s="13"/>
      <c r="H30" s="13">
        <f t="shared" si="3"/>
        <v>365907</v>
      </c>
      <c r="I30" s="13">
        <f>'anexo 10'!G17</f>
        <v>365907</v>
      </c>
      <c r="J30" s="13">
        <f>'anexo 10'!H17</f>
        <v>0</v>
      </c>
      <c r="K30" s="14">
        <f>'anexo 10'!I17</f>
        <v>0</v>
      </c>
      <c r="N30" s="5"/>
      <c r="Q30" s="547"/>
    </row>
    <row r="31" spans="1:18" ht="20.100000000000001" customHeight="1" x14ac:dyDescent="0.25">
      <c r="A31" s="15"/>
      <c r="B31" s="747" t="s">
        <v>26</v>
      </c>
      <c r="C31" s="748"/>
      <c r="D31" s="13">
        <f>SUM(D32:D33)</f>
        <v>1090500</v>
      </c>
      <c r="E31" s="13">
        <f>SUM(E32:E33)</f>
        <v>1089663</v>
      </c>
      <c r="F31" s="13">
        <f>SUM(F32:F33)</f>
        <v>1212898</v>
      </c>
      <c r="G31" s="13">
        <f>SUM(G32:G33)</f>
        <v>1228764</v>
      </c>
      <c r="H31" s="13">
        <f t="shared" si="3"/>
        <v>1264474</v>
      </c>
      <c r="I31" s="13">
        <f>SUM(I32:I33)</f>
        <v>0</v>
      </c>
      <c r="J31" s="13">
        <f>SUM(J32:J33)</f>
        <v>1264474</v>
      </c>
      <c r="K31" s="14">
        <f>SUM(K32:K33)</f>
        <v>0</v>
      </c>
      <c r="N31" s="5"/>
      <c r="Q31" s="547"/>
      <c r="R31" s="547"/>
    </row>
    <row r="32" spans="1:18" ht="20.100000000000001" customHeight="1" x14ac:dyDescent="0.25">
      <c r="A32" s="15"/>
      <c r="B32" s="11"/>
      <c r="C32" s="17" t="s">
        <v>27</v>
      </c>
      <c r="D32" s="13">
        <f>'anexo 10'!B20</f>
        <v>430300</v>
      </c>
      <c r="E32" s="13">
        <f>'anexo 10'!C20</f>
        <v>429671</v>
      </c>
      <c r="F32" s="13">
        <f>'anexo 10'!D20</f>
        <v>476281</v>
      </c>
      <c r="G32" s="13">
        <f>'anexo 10'!E20</f>
        <v>478696</v>
      </c>
      <c r="H32" s="13">
        <f t="shared" si="3"/>
        <v>412990</v>
      </c>
      <c r="I32" s="13">
        <f>'anexo 10'!G20</f>
        <v>0</v>
      </c>
      <c r="J32" s="13">
        <f>'anexo 10'!H20</f>
        <v>412990</v>
      </c>
      <c r="K32" s="14">
        <f>'anexo 10'!I20</f>
        <v>0</v>
      </c>
      <c r="N32" s="5"/>
      <c r="Q32" s="547"/>
    </row>
    <row r="33" spans="1:17" ht="20.100000000000001" customHeight="1" x14ac:dyDescent="0.25">
      <c r="A33" s="15"/>
      <c r="B33" s="11"/>
      <c r="C33" s="17" t="s">
        <v>28</v>
      </c>
      <c r="D33" s="13">
        <f>'anexo 10'!B21</f>
        <v>660200</v>
      </c>
      <c r="E33" s="13">
        <f>'anexo 10'!C21</f>
        <v>659992</v>
      </c>
      <c r="F33" s="13">
        <f>'anexo 10'!D21</f>
        <v>736617</v>
      </c>
      <c r="G33" s="13">
        <f>'anexo 10'!E21</f>
        <v>750068</v>
      </c>
      <c r="H33" s="13">
        <f t="shared" si="3"/>
        <v>851484</v>
      </c>
      <c r="I33" s="13">
        <f>'anexo 10'!G21</f>
        <v>0</v>
      </c>
      <c r="J33" s="13">
        <f>'anexo 10'!H21</f>
        <v>851484</v>
      </c>
      <c r="K33" s="14">
        <f>'anexo 10'!I21</f>
        <v>0</v>
      </c>
      <c r="N33" s="5"/>
      <c r="Q33" s="547"/>
    </row>
    <row r="34" spans="1:17" ht="20.100000000000001" customHeight="1" x14ac:dyDescent="0.25">
      <c r="A34" s="15"/>
      <c r="B34" s="747" t="s">
        <v>29</v>
      </c>
      <c r="C34" s="748"/>
      <c r="D34" s="13">
        <f>'anexo 10'!B6</f>
        <v>1638751</v>
      </c>
      <c r="E34" s="13">
        <f>'anexo 10'!C6</f>
        <v>1843505</v>
      </c>
      <c r="F34" s="13">
        <f>'anexo 10'!D6</f>
        <v>1793092</v>
      </c>
      <c r="G34" s="13">
        <f>'anexo 10'!E6</f>
        <v>2096637</v>
      </c>
      <c r="H34" s="13">
        <f t="shared" si="3"/>
        <v>1938023.0000000002</v>
      </c>
      <c r="I34" s="13">
        <f>SUM('anexo 10'!G6)</f>
        <v>1938023.0000000002</v>
      </c>
      <c r="J34" s="13">
        <f>SUM('anexo 10'!H6)</f>
        <v>0</v>
      </c>
      <c r="K34" s="14">
        <f>SUM('anexo 10'!I6)</f>
        <v>0</v>
      </c>
      <c r="M34" s="5"/>
      <c r="N34" s="5"/>
      <c r="Q34" s="547"/>
    </row>
    <row r="35" spans="1:17" ht="20.100000000000001" customHeight="1" thickBot="1" x14ac:dyDescent="0.3">
      <c r="A35" s="15"/>
      <c r="B35" s="747" t="s">
        <v>30</v>
      </c>
      <c r="C35" s="748"/>
      <c r="D35" s="13">
        <f>'anexo 10'!B23</f>
        <v>91138</v>
      </c>
      <c r="E35" s="13">
        <f>'anexo 10'!C23</f>
        <v>90700</v>
      </c>
      <c r="F35" s="13">
        <f>'anexo 10'!D23</f>
        <v>104216</v>
      </c>
      <c r="G35" s="13">
        <f>'anexo 10'!E23</f>
        <v>104216</v>
      </c>
      <c r="H35" s="13">
        <f t="shared" si="3"/>
        <v>133002.51</v>
      </c>
      <c r="I35" s="13">
        <f>SUM('anexo 10'!G23)</f>
        <v>133002.51</v>
      </c>
      <c r="J35" s="13">
        <f>SUM('anexo 10'!H23)</f>
        <v>0</v>
      </c>
      <c r="K35" s="14">
        <f>SUM('anexo 10'!I23)</f>
        <v>0</v>
      </c>
      <c r="N35" s="5"/>
      <c r="Q35" s="547"/>
    </row>
    <row r="36" spans="1:17" ht="20.100000000000001" customHeight="1" thickBot="1" x14ac:dyDescent="0.3">
      <c r="A36" s="749" t="s">
        <v>296</v>
      </c>
      <c r="B36" s="750"/>
      <c r="C36" s="750"/>
      <c r="D36" s="686"/>
      <c r="E36" s="686"/>
      <c r="F36" s="686"/>
      <c r="G36" s="686"/>
      <c r="H36" s="687">
        <f>H13+H14+H15+H16+H17+H18+H23+H27+H28</f>
        <v>19453753.759999998</v>
      </c>
      <c r="I36" s="687">
        <f t="shared" ref="I36:K36" si="5">I13+I14+I15+I16+I17+I18+I23+I27+I28</f>
        <v>9426705.7599999998</v>
      </c>
      <c r="J36" s="687">
        <f t="shared" si="5"/>
        <v>8197994</v>
      </c>
      <c r="K36" s="688">
        <f t="shared" si="5"/>
        <v>1829054</v>
      </c>
      <c r="Q36" s="547"/>
    </row>
    <row r="37" spans="1:17" ht="20.100000000000001" customHeight="1" thickBot="1" x14ac:dyDescent="0.3">
      <c r="A37" s="753" t="s">
        <v>340</v>
      </c>
      <c r="B37" s="754"/>
      <c r="C37" s="755"/>
      <c r="D37" s="651"/>
      <c r="E37" s="651"/>
      <c r="F37" s="651"/>
      <c r="G37" s="651"/>
      <c r="H37" s="652">
        <f>H5-H12</f>
        <v>0.24000000208616257</v>
      </c>
      <c r="I37" s="652">
        <f t="shared" ref="I37:K37" si="6">I5-I12</f>
        <v>0.24000000022351742</v>
      </c>
      <c r="J37" s="652">
        <v>0</v>
      </c>
      <c r="K37" s="653">
        <f t="shared" si="6"/>
        <v>0</v>
      </c>
      <c r="M37" s="5"/>
      <c r="Q37" s="547"/>
    </row>
    <row r="38" spans="1:17" ht="15" customHeight="1" x14ac:dyDescent="0.25">
      <c r="H38" s="5"/>
    </row>
    <row r="39" spans="1:17" ht="15" customHeight="1" x14ac:dyDescent="0.25">
      <c r="H39" s="5"/>
    </row>
    <row r="40" spans="1:17" ht="15" customHeight="1" x14ac:dyDescent="0.25">
      <c r="H40" s="547"/>
    </row>
    <row r="41" spans="1:17" ht="15" customHeight="1" x14ac:dyDescent="0.25">
      <c r="H41" s="5"/>
    </row>
    <row r="43" spans="1:17" ht="15" customHeight="1" x14ac:dyDescent="0.25">
      <c r="H43" s="5"/>
    </row>
    <row r="44" spans="1:17" ht="15" customHeight="1" x14ac:dyDescent="0.25">
      <c r="H44" s="722"/>
    </row>
    <row r="45" spans="1:17" ht="15" customHeight="1" x14ac:dyDescent="0.25">
      <c r="H45" s="547"/>
    </row>
  </sheetData>
  <mergeCells count="31">
    <mergeCell ref="A1:K1"/>
    <mergeCell ref="A2:K2"/>
    <mergeCell ref="A3:K3"/>
    <mergeCell ref="A4:C4"/>
    <mergeCell ref="A13:C13"/>
    <mergeCell ref="A12:C12"/>
    <mergeCell ref="A11:K11"/>
    <mergeCell ref="A37:C37"/>
    <mergeCell ref="A5:C5"/>
    <mergeCell ref="A6:C6"/>
    <mergeCell ref="A7:C7"/>
    <mergeCell ref="A8:C8"/>
    <mergeCell ref="A9:C9"/>
    <mergeCell ref="B21:C21"/>
    <mergeCell ref="B23:C23"/>
    <mergeCell ref="B27:C27"/>
    <mergeCell ref="A28:C28"/>
    <mergeCell ref="B29:C29"/>
    <mergeCell ref="B31:C31"/>
    <mergeCell ref="A15:C15"/>
    <mergeCell ref="A16:C16"/>
    <mergeCell ref="A17:C17"/>
    <mergeCell ref="A18:C18"/>
    <mergeCell ref="B30:C30"/>
    <mergeCell ref="A10:C10"/>
    <mergeCell ref="B34:C34"/>
    <mergeCell ref="B35:C35"/>
    <mergeCell ref="A36:C36"/>
    <mergeCell ref="B19:C19"/>
    <mergeCell ref="B20:C20"/>
    <mergeCell ref="A14:C14"/>
  </mergeCells>
  <printOptions horizontalCentered="1" verticalCentered="1"/>
  <pageMargins left="0.51181102362204722" right="0.51181102362204722" top="0.51181102362204722" bottom="0.35433070866141736" header="0.31496062992125984" footer="0.31496062992125984"/>
  <pageSetup fitToHeight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pane ySplit="5" topLeftCell="A18" activePane="bottomLeft" state="frozen"/>
      <selection activeCell="F34" sqref="F34"/>
      <selection pane="bottomLeft" activeCell="F34" sqref="F34"/>
    </sheetView>
  </sheetViews>
  <sheetFormatPr baseColWidth="10" defaultColWidth="11.42578125" defaultRowHeight="15" customHeight="1" x14ac:dyDescent="0.25"/>
  <cols>
    <col min="1" max="1" width="39.5703125" customWidth="1"/>
    <col min="2" max="3" width="12.7109375" hidden="1" customWidth="1"/>
    <col min="4" max="4" width="12.140625" hidden="1" customWidth="1"/>
    <col min="5" max="5" width="9.7109375" hidden="1" customWidth="1"/>
    <col min="6" max="6" width="13.140625" bestFit="1" customWidth="1"/>
    <col min="7" max="8" width="9.85546875" bestFit="1" customWidth="1"/>
    <col min="9" max="9" width="11.5703125" bestFit="1" customWidth="1"/>
  </cols>
  <sheetData>
    <row r="1" spans="1:9" ht="15" customHeight="1" x14ac:dyDescent="0.25">
      <c r="A1" s="796" t="s">
        <v>295</v>
      </c>
      <c r="B1" s="797"/>
      <c r="C1" s="797"/>
      <c r="D1" s="797"/>
      <c r="E1" s="797"/>
      <c r="F1" s="797"/>
      <c r="G1" s="797"/>
      <c r="H1" s="797"/>
      <c r="I1" s="798"/>
    </row>
    <row r="2" spans="1:9" ht="21.95" customHeight="1" x14ac:dyDescent="0.25">
      <c r="A2" s="839" t="s">
        <v>17</v>
      </c>
      <c r="B2" s="840"/>
      <c r="C2" s="840"/>
      <c r="D2" s="840"/>
      <c r="E2" s="840"/>
      <c r="F2" s="840"/>
      <c r="G2" s="840"/>
      <c r="H2" s="840"/>
      <c r="I2" s="841"/>
    </row>
    <row r="3" spans="1:9" ht="21.95" customHeight="1" thickBot="1" x14ac:dyDescent="0.3">
      <c r="A3" s="851" t="s">
        <v>0</v>
      </c>
      <c r="B3" s="852"/>
      <c r="C3" s="852"/>
      <c r="D3" s="852"/>
      <c r="E3" s="852"/>
      <c r="F3" s="852"/>
      <c r="G3" s="852"/>
      <c r="H3" s="852"/>
      <c r="I3" s="853"/>
    </row>
    <row r="4" spans="1:9" ht="21.95" customHeight="1" thickBot="1" x14ac:dyDescent="0.3">
      <c r="A4" s="848" t="s">
        <v>242</v>
      </c>
      <c r="B4" s="849">
        <v>2010</v>
      </c>
      <c r="C4" s="850"/>
      <c r="D4" s="849">
        <v>2011</v>
      </c>
      <c r="E4" s="850"/>
      <c r="F4" s="824" t="s">
        <v>343</v>
      </c>
      <c r="G4" s="825"/>
      <c r="H4" s="825"/>
      <c r="I4" s="826"/>
    </row>
    <row r="5" spans="1:9" ht="21.95" customHeight="1" thickBot="1" x14ac:dyDescent="0.3">
      <c r="A5" s="835"/>
      <c r="B5" s="658" t="s">
        <v>3</v>
      </c>
      <c r="C5" s="659" t="s">
        <v>4</v>
      </c>
      <c r="D5" s="658" t="s">
        <v>3</v>
      </c>
      <c r="E5" s="659" t="s">
        <v>4</v>
      </c>
      <c r="F5" s="660" t="s">
        <v>5</v>
      </c>
      <c r="G5" s="660" t="s">
        <v>6</v>
      </c>
      <c r="H5" s="660" t="s">
        <v>7</v>
      </c>
      <c r="I5" s="660" t="s">
        <v>8</v>
      </c>
    </row>
    <row r="6" spans="1:9" ht="21.95" customHeight="1" x14ac:dyDescent="0.25">
      <c r="A6" s="73"/>
      <c r="B6" s="74"/>
      <c r="C6" s="74"/>
      <c r="D6" s="97"/>
      <c r="E6" s="97"/>
      <c r="F6" s="97"/>
      <c r="G6" s="97"/>
      <c r="H6" s="97"/>
      <c r="I6" s="159"/>
    </row>
    <row r="7" spans="1:9" ht="21.95" customHeight="1" x14ac:dyDescent="0.25">
      <c r="A7" s="75" t="s">
        <v>111</v>
      </c>
      <c r="B7" s="77" t="e">
        <f>GUBERNATURA!#REF!</f>
        <v>#REF!</v>
      </c>
      <c r="C7" s="77" t="e">
        <f>GUBERNATURA!#REF!</f>
        <v>#REF!</v>
      </c>
      <c r="D7" s="77" t="e">
        <f>GUBERNATURA!#REF!</f>
        <v>#REF!</v>
      </c>
      <c r="E7" s="77" t="e">
        <f>GUBERNATURA!#REF!</f>
        <v>#REF!</v>
      </c>
      <c r="F7" s="77">
        <f>SUM(G7:I7)</f>
        <v>0</v>
      </c>
      <c r="G7" s="77">
        <f>GUBERNATURA!G14</f>
        <v>0</v>
      </c>
      <c r="H7" s="77">
        <f>GUBERNATURA!H14</f>
        <v>0</v>
      </c>
      <c r="I7" s="78">
        <f>GUBERNATURA!I14</f>
        <v>0</v>
      </c>
    </row>
    <row r="8" spans="1:9" ht="21.95" customHeight="1" x14ac:dyDescent="0.25">
      <c r="A8" s="79" t="s">
        <v>112</v>
      </c>
      <c r="B8" s="81" t="e">
        <f>'S GOB.'!#REF!</f>
        <v>#REF!</v>
      </c>
      <c r="C8" s="81" t="e">
        <f>'S GOB.'!#REF!</f>
        <v>#REF!</v>
      </c>
      <c r="D8" s="81" t="e">
        <f>'S GOB.'!#REF!</f>
        <v>#REF!</v>
      </c>
      <c r="E8" s="81" t="e">
        <f>'S GOB.'!#REF!</f>
        <v>#REF!</v>
      </c>
      <c r="F8" s="81">
        <f>'S GOB.'!F14</f>
        <v>0</v>
      </c>
      <c r="G8" s="81">
        <f>'S GOB.'!G14</f>
        <v>0</v>
      </c>
      <c r="H8" s="81">
        <f>'S GOB.'!H14</f>
        <v>0</v>
      </c>
      <c r="I8" s="82">
        <f>'S GOB.'!I14</f>
        <v>0</v>
      </c>
    </row>
    <row r="9" spans="1:9" ht="21.95" customHeight="1" x14ac:dyDescent="0.25">
      <c r="A9" s="79" t="s">
        <v>113</v>
      </c>
      <c r="B9" s="81" t="e">
        <f>'S HDA.'!#REF!</f>
        <v>#REF!</v>
      </c>
      <c r="C9" s="81" t="e">
        <f>'S HDA.'!#REF!</f>
        <v>#REF!</v>
      </c>
      <c r="D9" s="81" t="e">
        <f>'S HDA.'!#REF!</f>
        <v>#REF!</v>
      </c>
      <c r="E9" s="81" t="e">
        <f>'S HDA.'!#REF!</f>
        <v>#REF!</v>
      </c>
      <c r="F9" s="81">
        <f>'S HDA.'!F13</f>
        <v>254241</v>
      </c>
      <c r="G9" s="81">
        <f>'S HDA.'!G13</f>
        <v>0</v>
      </c>
      <c r="H9" s="81">
        <f>'S HDA.'!H13</f>
        <v>254241</v>
      </c>
      <c r="I9" s="82">
        <f>'S HDA.'!I13</f>
        <v>0</v>
      </c>
    </row>
    <row r="10" spans="1:9" ht="21.95" customHeight="1" x14ac:dyDescent="0.25">
      <c r="A10" s="79" t="s">
        <v>114</v>
      </c>
      <c r="B10" s="81" t="e">
        <f>'S ECONOM.'!#REF!</f>
        <v>#REF!</v>
      </c>
      <c r="C10" s="81" t="e">
        <f>'S ECONOM.'!#REF!</f>
        <v>#REF!</v>
      </c>
      <c r="D10" s="81" t="e">
        <f>'S ECONOM.'!#REF!</f>
        <v>#REF!</v>
      </c>
      <c r="E10" s="81" t="e">
        <f>'S ECONOM.'!#REF!</f>
        <v>#REF!</v>
      </c>
      <c r="F10" s="81">
        <f>'S ECONOM.'!F13</f>
        <v>240589</v>
      </c>
      <c r="G10" s="81">
        <f>'S ECONOM.'!G13</f>
        <v>240589</v>
      </c>
      <c r="H10" s="81">
        <f>'S ECONOM.'!H13</f>
        <v>0</v>
      </c>
      <c r="I10" s="82">
        <f>'S ECONOM.'!I13</f>
        <v>0</v>
      </c>
    </row>
    <row r="11" spans="1:9" ht="21.95" customHeight="1" x14ac:dyDescent="0.25">
      <c r="A11" s="79" t="s">
        <v>115</v>
      </c>
      <c r="B11" s="81" t="e">
        <f>'S DES.AGROP.'!#REF!</f>
        <v>#REF!</v>
      </c>
      <c r="C11" s="81" t="e">
        <f>'S DES.AGROP.'!#REF!</f>
        <v>#REF!</v>
      </c>
      <c r="D11" s="81" t="e">
        <f>'S DES.AGROP.'!#REF!</f>
        <v>#REF!</v>
      </c>
      <c r="E11" s="81" t="e">
        <f>'S DES.AGROP.'!#REF!</f>
        <v>#REF!</v>
      </c>
      <c r="F11" s="81">
        <f>'S DES.AGROP.'!F13</f>
        <v>55000</v>
      </c>
      <c r="G11" s="81">
        <f>'S DES.AGROP.'!G13</f>
        <v>55000</v>
      </c>
      <c r="H11" s="81">
        <f>'S DES.AGROP.'!H13</f>
        <v>0</v>
      </c>
      <c r="I11" s="82">
        <f>'S DES.AGROP.'!I13</f>
        <v>0</v>
      </c>
    </row>
    <row r="12" spans="1:9" ht="21.95" customHeight="1" x14ac:dyDescent="0.25">
      <c r="A12" s="79" t="s">
        <v>116</v>
      </c>
      <c r="B12" s="81" t="e">
        <f>'S OB. PUB.'!#REF!</f>
        <v>#REF!</v>
      </c>
      <c r="C12" s="81" t="e">
        <f>'S OB. PUB.'!#REF!</f>
        <v>#REF!</v>
      </c>
      <c r="D12" s="81" t="e">
        <f>'S OB. PUB.'!#REF!</f>
        <v>#REF!</v>
      </c>
      <c r="E12" s="81" t="e">
        <f>'S OB. PUB.'!#REF!</f>
        <v>#REF!</v>
      </c>
      <c r="F12" s="81">
        <f>'S OB. PUB.'!F13</f>
        <v>42759</v>
      </c>
      <c r="G12" s="81">
        <f>'S OB. PUB.'!G13</f>
        <v>0</v>
      </c>
      <c r="H12" s="81">
        <f>'S OB. PUB.'!H13</f>
        <v>42759</v>
      </c>
      <c r="I12" s="82">
        <f>'S OB. PUB.'!I13</f>
        <v>0</v>
      </c>
    </row>
    <row r="13" spans="1:9" ht="21.95" customHeight="1" x14ac:dyDescent="0.25">
      <c r="A13" s="79" t="s">
        <v>117</v>
      </c>
      <c r="B13" s="81" t="e">
        <f>'S EDUC.'!#REF!</f>
        <v>#REF!</v>
      </c>
      <c r="C13" s="81" t="e">
        <f>'S EDUC.'!#REF!</f>
        <v>#REF!</v>
      </c>
      <c r="D13" s="81" t="e">
        <f>'S EDUC.'!#REF!</f>
        <v>#REF!</v>
      </c>
      <c r="E13" s="81" t="e">
        <f>'S EDUC.'!#REF!</f>
        <v>#REF!</v>
      </c>
      <c r="F13" s="81">
        <f>'S EDUC.'!F12</f>
        <v>0</v>
      </c>
      <c r="G13" s="81">
        <f>'S EDUC.'!G12</f>
        <v>0</v>
      </c>
      <c r="H13" s="81">
        <f>'S EDUC.'!H12</f>
        <v>0</v>
      </c>
      <c r="I13" s="82">
        <f>'S EDUC.'!I12</f>
        <v>0</v>
      </c>
    </row>
    <row r="14" spans="1:9" ht="21.95" customHeight="1" x14ac:dyDescent="0.25">
      <c r="A14" s="79" t="s">
        <v>118</v>
      </c>
      <c r="B14" s="81" t="e">
        <f>'S SALUD'!#REF!</f>
        <v>#REF!</v>
      </c>
      <c r="C14" s="81" t="e">
        <f>'S SALUD'!#REF!</f>
        <v>#REF!</v>
      </c>
      <c r="D14" s="81" t="e">
        <f>'S SALUD'!#REF!</f>
        <v>#REF!</v>
      </c>
      <c r="E14" s="81" t="e">
        <f>'S SALUD'!#REF!</f>
        <v>#REF!</v>
      </c>
      <c r="F14" s="81">
        <f>'S SALUD'!F13</f>
        <v>0</v>
      </c>
      <c r="G14" s="81">
        <f>'S SALUD'!G13</f>
        <v>0</v>
      </c>
      <c r="H14" s="81">
        <f>'S SALUD'!H13</f>
        <v>0</v>
      </c>
      <c r="I14" s="82">
        <f>'S SALUD'!I13</f>
        <v>0</v>
      </c>
    </row>
    <row r="15" spans="1:9" ht="21.95" customHeight="1" x14ac:dyDescent="0.25">
      <c r="A15" s="79" t="s">
        <v>119</v>
      </c>
      <c r="B15" s="81" t="e">
        <f>PGJ!#REF!</f>
        <v>#REF!</v>
      </c>
      <c r="C15" s="81" t="e">
        <f>PGJ!#REF!</f>
        <v>#REF!</v>
      </c>
      <c r="D15" s="81" t="e">
        <f>PGJ!#REF!</f>
        <v>#REF!</v>
      </c>
      <c r="E15" s="81" t="e">
        <f>PGJ!#REF!</f>
        <v>#REF!</v>
      </c>
      <c r="F15" s="81">
        <f>PGJ!F14</f>
        <v>0</v>
      </c>
      <c r="G15" s="81">
        <f>PGJ!G14</f>
        <v>0</v>
      </c>
      <c r="H15" s="81">
        <f>PGJ!H14</f>
        <v>0</v>
      </c>
      <c r="I15" s="82">
        <f>PGJ!I14</f>
        <v>0</v>
      </c>
    </row>
    <row r="16" spans="1:9" ht="21.95" customHeight="1" x14ac:dyDescent="0.25">
      <c r="A16" s="79" t="s">
        <v>120</v>
      </c>
      <c r="B16" s="81" t="e">
        <f>'S ADMON.'!#REF!</f>
        <v>#REF!</v>
      </c>
      <c r="C16" s="81" t="e">
        <f>'S ADMON.'!#REF!</f>
        <v>#REF!</v>
      </c>
      <c r="D16" s="81" t="e">
        <f>'S ADMON.'!#REF!</f>
        <v>#REF!</v>
      </c>
      <c r="E16" s="81" t="e">
        <f>'S ADMON.'!#REF!</f>
        <v>#REF!</v>
      </c>
      <c r="F16" s="81">
        <f>'S ADMON.'!F13</f>
        <v>0</v>
      </c>
      <c r="G16" s="81">
        <f>'S ADMON.'!G13</f>
        <v>0</v>
      </c>
      <c r="H16" s="81">
        <f>'S ADMON.'!H13</f>
        <v>0</v>
      </c>
      <c r="I16" s="82">
        <f>'S ADMON.'!I13</f>
        <v>0</v>
      </c>
    </row>
    <row r="17" spans="1:13" ht="21.95" customHeight="1" x14ac:dyDescent="0.25">
      <c r="A17" s="79" t="s">
        <v>243</v>
      </c>
      <c r="B17" s="81" t="e">
        <f>'S CONTRALORIA'!#REF!</f>
        <v>#REF!</v>
      </c>
      <c r="C17" s="81" t="e">
        <f>'S CONTRALORIA'!#REF!</f>
        <v>#REF!</v>
      </c>
      <c r="D17" s="81" t="e">
        <f>'S CONTRALORIA'!#REF!</f>
        <v>#REF!</v>
      </c>
      <c r="E17" s="81" t="e">
        <f>'S CONTRALORIA'!#REF!</f>
        <v>#REF!</v>
      </c>
      <c r="F17" s="81">
        <f>'S CONTRALORIA'!F13</f>
        <v>0</v>
      </c>
      <c r="G17" s="81">
        <f>'S CONTRALORIA'!G13</f>
        <v>0</v>
      </c>
      <c r="H17" s="81">
        <f>'S CONTRALORIA'!H13</f>
        <v>0</v>
      </c>
      <c r="I17" s="82">
        <f>'S CONTRALORIA'!I13</f>
        <v>0</v>
      </c>
      <c r="M17" s="5"/>
    </row>
    <row r="18" spans="1:13" ht="21.95" customHeight="1" x14ac:dyDescent="0.25">
      <c r="A18" s="79" t="s">
        <v>122</v>
      </c>
      <c r="B18" s="81" t="e">
        <f>'S SEG.PUB.'!#REF!</f>
        <v>#REF!</v>
      </c>
      <c r="C18" s="81" t="e">
        <f>'S SEG.PUB.'!#REF!</f>
        <v>#REF!</v>
      </c>
      <c r="D18" s="81" t="e">
        <f>'S SEG.PUB.'!#REF!</f>
        <v>#REF!</v>
      </c>
      <c r="E18" s="81" t="e">
        <f>'S SEG.PUB.'!#REF!</f>
        <v>#REF!</v>
      </c>
      <c r="F18" s="81">
        <f>'S SEG.PUB.'!F14</f>
        <v>210282</v>
      </c>
      <c r="G18" s="81">
        <f>'S SEG.PUB.'!G14</f>
        <v>45000</v>
      </c>
      <c r="H18" s="81">
        <f>'S SEG.PUB.'!H14</f>
        <v>165282</v>
      </c>
      <c r="I18" s="82">
        <f>'S SEG.PUB.'!I14</f>
        <v>0</v>
      </c>
    </row>
    <row r="19" spans="1:13" ht="21.95" customHeight="1" x14ac:dyDescent="0.25">
      <c r="A19" s="79" t="s">
        <v>123</v>
      </c>
      <c r="B19" s="81" t="e">
        <f>CONSEJ.JUR.!#REF!</f>
        <v>#REF!</v>
      </c>
      <c r="C19" s="81" t="e">
        <f>CONSEJ.JUR.!#REF!</f>
        <v>#REF!</v>
      </c>
      <c r="D19" s="81" t="e">
        <f>CONSEJ.JUR.!#REF!</f>
        <v>#REF!</v>
      </c>
      <c r="E19" s="81" t="e">
        <f>CONSEJ.JUR.!#REF!</f>
        <v>#REF!</v>
      </c>
      <c r="F19" s="81">
        <f>CONSEJ.JUR.!F13</f>
        <v>0</v>
      </c>
      <c r="G19" s="81">
        <f>CONSEJ.JUR.!G13</f>
        <v>0</v>
      </c>
      <c r="H19" s="81">
        <f>CONSEJ.JUR.!H13</f>
        <v>0</v>
      </c>
      <c r="I19" s="82">
        <f>CONSEJ.JUR.!I13</f>
        <v>0</v>
      </c>
    </row>
    <row r="20" spans="1:13" ht="21.95" customHeight="1" x14ac:dyDescent="0.25">
      <c r="A20" s="79" t="s">
        <v>124</v>
      </c>
      <c r="B20" s="81" t="e">
        <f>'S TURISMO'!#REF!</f>
        <v>#REF!</v>
      </c>
      <c r="C20" s="81" t="e">
        <f>'S TURISMO'!#REF!</f>
        <v>#REF!</v>
      </c>
      <c r="D20" s="81" t="e">
        <f>'S TURISMO'!#REF!</f>
        <v>#REF!</v>
      </c>
      <c r="E20" s="81" t="e">
        <f>'S TURISMO'!#REF!</f>
        <v>#REF!</v>
      </c>
      <c r="F20" s="81">
        <f>'S TURISMO'!B13</f>
        <v>10300</v>
      </c>
      <c r="G20" s="81">
        <f>'S TURISMO'!C13</f>
        <v>10300</v>
      </c>
      <c r="H20" s="81">
        <f>'S TURISMO'!D13</f>
        <v>0</v>
      </c>
      <c r="I20" s="82">
        <f>'S TURISMO'!E13</f>
        <v>0</v>
      </c>
    </row>
    <row r="21" spans="1:13" ht="21.95" customHeight="1" x14ac:dyDescent="0.25">
      <c r="A21" s="79" t="s">
        <v>125</v>
      </c>
      <c r="B21" s="81" t="e">
        <f>'S DES.SOC.'!#REF!</f>
        <v>#REF!</v>
      </c>
      <c r="C21" s="81" t="e">
        <f>'S DES.SOC.'!#REF!</f>
        <v>#REF!</v>
      </c>
      <c r="D21" s="81" t="e">
        <f>'S DES.SOC.'!#REF!</f>
        <v>#REF!</v>
      </c>
      <c r="E21" s="81" t="e">
        <f>'S DES.SOC.'!#REF!</f>
        <v>#REF!</v>
      </c>
      <c r="F21" s="81">
        <f>'S DES.SOC.'!F13</f>
        <v>53499</v>
      </c>
      <c r="G21" s="81">
        <f>'S DES.SOC.'!G13</f>
        <v>53499</v>
      </c>
      <c r="H21" s="81">
        <f>'S DES.SOC.'!H13</f>
        <v>0</v>
      </c>
      <c r="I21" s="82">
        <f>'S DES.SOC.'!I13</f>
        <v>0</v>
      </c>
    </row>
    <row r="22" spans="1:13" ht="21.95" customHeight="1" x14ac:dyDescent="0.25">
      <c r="A22" s="79" t="s">
        <v>126</v>
      </c>
      <c r="B22" s="81" t="e">
        <f>'S TRABAJO'!#REF!</f>
        <v>#REF!</v>
      </c>
      <c r="C22" s="81" t="e">
        <f>'S TRABAJO'!#REF!</f>
        <v>#REF!</v>
      </c>
      <c r="D22" s="81" t="e">
        <f>'S TRABAJO'!#REF!</f>
        <v>#REF!</v>
      </c>
      <c r="E22" s="81" t="e">
        <f>'S TRABAJO'!#REF!</f>
        <v>#REF!</v>
      </c>
      <c r="F22" s="81">
        <f>'S TRABAJO'!F13</f>
        <v>0</v>
      </c>
      <c r="G22" s="81">
        <f>'S TRABAJO'!G13</f>
        <v>0</v>
      </c>
      <c r="H22" s="81">
        <f>'S TRABAJO'!H13</f>
        <v>0</v>
      </c>
      <c r="I22" s="82">
        <f>'S TRABAJO'!I13</f>
        <v>0</v>
      </c>
    </row>
    <row r="23" spans="1:13" ht="21.95" customHeight="1" x14ac:dyDescent="0.25">
      <c r="A23" s="79" t="s">
        <v>127</v>
      </c>
      <c r="B23" s="81"/>
      <c r="C23" s="81"/>
      <c r="D23" s="81"/>
      <c r="E23" s="81"/>
      <c r="F23" s="81">
        <f>'S CULT'!F13</f>
        <v>16000</v>
      </c>
      <c r="G23" s="81">
        <f>'S CULT'!G13</f>
        <v>16000</v>
      </c>
      <c r="H23" s="81">
        <f>'S CULT'!H13</f>
        <v>0</v>
      </c>
      <c r="I23" s="82">
        <f>'S CULT'!I13</f>
        <v>0</v>
      </c>
    </row>
    <row r="24" spans="1:13" ht="21.95" customHeight="1" x14ac:dyDescent="0.25">
      <c r="A24" s="79" t="s">
        <v>128</v>
      </c>
      <c r="B24" s="81"/>
      <c r="C24" s="81"/>
      <c r="D24" s="81"/>
      <c r="E24" s="81"/>
      <c r="F24" s="81">
        <f>'S DES. SUST.'!F13</f>
        <v>55000</v>
      </c>
      <c r="G24" s="81">
        <f>'S DES. SUST.'!G13</f>
        <v>55000</v>
      </c>
      <c r="H24" s="81">
        <f>'S DES. SUST.'!H13</f>
        <v>0</v>
      </c>
      <c r="I24" s="82">
        <f>'S DES. SUST.'!I13</f>
        <v>0</v>
      </c>
    </row>
    <row r="25" spans="1:13" ht="21.95" customHeight="1" x14ac:dyDescent="0.25">
      <c r="A25" s="79" t="s">
        <v>129</v>
      </c>
      <c r="B25" s="81"/>
      <c r="C25" s="81"/>
      <c r="D25" s="81"/>
      <c r="E25" s="81"/>
      <c r="F25" s="81">
        <f>'S INF.COMUN.'!F13</f>
        <v>0</v>
      </c>
      <c r="G25" s="81">
        <f>'S INF.COMUN.'!G13</f>
        <v>0</v>
      </c>
      <c r="H25" s="81">
        <f>'S INF.COMUN.'!H13</f>
        <v>0</v>
      </c>
      <c r="I25" s="82">
        <f>'S INF.COMUN.'!I13</f>
        <v>0</v>
      </c>
    </row>
    <row r="26" spans="1:13" ht="21.95" customHeight="1" x14ac:dyDescent="0.25">
      <c r="A26" s="79" t="s">
        <v>198</v>
      </c>
      <c r="B26" s="81"/>
      <c r="C26" s="81"/>
      <c r="D26" s="81"/>
      <c r="E26" s="81"/>
      <c r="F26" s="81">
        <f>'S INNOV.'!F13</f>
        <v>0</v>
      </c>
      <c r="G26" s="81">
        <f>'S INNOV.'!G13</f>
        <v>0</v>
      </c>
      <c r="H26" s="81">
        <f>'S INNOV.'!H13</f>
        <v>0</v>
      </c>
      <c r="I26" s="82">
        <f>'S INNOV.'!I13</f>
        <v>0</v>
      </c>
    </row>
    <row r="27" spans="1:13" ht="21.95" customHeight="1" x14ac:dyDescent="0.25">
      <c r="A27" s="79" t="s">
        <v>355</v>
      </c>
      <c r="B27" s="81"/>
      <c r="C27" s="81"/>
      <c r="D27" s="81"/>
      <c r="E27" s="81"/>
      <c r="F27" s="81">
        <f>'S MOV.TRANSP.'!F13</f>
        <v>0</v>
      </c>
      <c r="G27" s="81">
        <f>'S MOV.TRANSP.'!G13</f>
        <v>0</v>
      </c>
      <c r="H27" s="81">
        <f>'S MOV.TRANSP.'!H13</f>
        <v>0</v>
      </c>
      <c r="I27" s="82">
        <f>'S MOV.TRANSP.'!I13</f>
        <v>0</v>
      </c>
    </row>
    <row r="28" spans="1:13" ht="21.95" customHeight="1" x14ac:dyDescent="0.25">
      <c r="A28" s="79"/>
      <c r="B28" s="81"/>
      <c r="C28" s="81"/>
      <c r="D28" s="81"/>
      <c r="E28" s="81"/>
      <c r="F28" s="81"/>
      <c r="G28" s="81"/>
      <c r="H28" s="81"/>
      <c r="I28" s="82"/>
    </row>
    <row r="29" spans="1:13" ht="21.95" customHeight="1" x14ac:dyDescent="0.25">
      <c r="A29" s="79"/>
      <c r="B29" s="81"/>
      <c r="C29" s="81"/>
      <c r="D29" s="81"/>
      <c r="E29" s="81"/>
      <c r="F29" s="81"/>
      <c r="G29" s="81"/>
      <c r="H29" s="81"/>
      <c r="I29" s="82"/>
    </row>
    <row r="30" spans="1:13" ht="21.95" customHeight="1" x14ac:dyDescent="0.25">
      <c r="A30" s="79"/>
      <c r="B30" s="81"/>
      <c r="C30" s="81"/>
      <c r="D30" s="81"/>
      <c r="E30" s="81"/>
      <c r="F30" s="81"/>
      <c r="G30" s="81"/>
      <c r="H30" s="81"/>
      <c r="I30" s="82"/>
    </row>
    <row r="31" spans="1:13" ht="21.95" customHeight="1" x14ac:dyDescent="0.25">
      <c r="A31" s="79"/>
      <c r="B31" s="81"/>
      <c r="C31" s="81"/>
      <c r="D31" s="81"/>
      <c r="E31" s="81"/>
      <c r="F31" s="81"/>
      <c r="G31" s="81"/>
      <c r="H31" s="81"/>
      <c r="I31" s="82"/>
    </row>
    <row r="32" spans="1:13" ht="21.95" customHeight="1" x14ac:dyDescent="0.25">
      <c r="A32" s="281"/>
      <c r="B32" s="318"/>
      <c r="C32" s="318"/>
      <c r="D32" s="285">
        <v>197487</v>
      </c>
      <c r="E32" s="285">
        <v>229408</v>
      </c>
      <c r="F32" s="285"/>
      <c r="G32" s="285"/>
      <c r="H32" s="285"/>
      <c r="I32" s="379"/>
    </row>
    <row r="33" spans="1:9" ht="16.5" customHeight="1" thickBot="1" x14ac:dyDescent="0.3">
      <c r="A33" s="380"/>
      <c r="B33" s="381"/>
      <c r="C33" s="381"/>
      <c r="D33" s="382"/>
      <c r="E33" s="382"/>
      <c r="F33" s="382"/>
      <c r="G33" s="382"/>
      <c r="H33" s="382"/>
      <c r="I33" s="383"/>
    </row>
    <row r="34" spans="1:9" ht="21.95" customHeight="1" thickBot="1" x14ac:dyDescent="0.3">
      <c r="A34" s="676" t="s">
        <v>133</v>
      </c>
      <c r="B34" s="677" t="e">
        <f>SUM(#REF!,B33:B33)</f>
        <v>#REF!</v>
      </c>
      <c r="C34" s="677" t="e">
        <f>SUM(#REF!,C33:C33)</f>
        <v>#REF!</v>
      </c>
      <c r="D34" s="677" t="e">
        <f>SUM(#REF!,D33:D33)</f>
        <v>#REF!</v>
      </c>
      <c r="E34" s="677" t="e">
        <f>SUM(#REF!,E33:E33)</f>
        <v>#REF!</v>
      </c>
      <c r="F34" s="677">
        <f>SUM(F7:F33)</f>
        <v>937670</v>
      </c>
      <c r="G34" s="677">
        <f>SUM(G7:G33)</f>
        <v>475388</v>
      </c>
      <c r="H34" s="677">
        <f>SUM(H7:H33)</f>
        <v>462282</v>
      </c>
      <c r="I34" s="678">
        <f>SUM(I7:I33)</f>
        <v>0</v>
      </c>
    </row>
    <row r="35" spans="1:9" ht="21.95" customHeight="1" x14ac:dyDescent="0.25"/>
    <row r="36" spans="1:9" ht="21.95" customHeight="1" x14ac:dyDescent="0.25">
      <c r="A36" s="156"/>
      <c r="B36" s="156"/>
      <c r="C36" s="156"/>
    </row>
  </sheetData>
  <mergeCells count="7">
    <mergeCell ref="A1:I1"/>
    <mergeCell ref="A2:I2"/>
    <mergeCell ref="A4:A5"/>
    <mergeCell ref="B4:C4"/>
    <mergeCell ref="D4:E4"/>
    <mergeCell ref="F4:I4"/>
    <mergeCell ref="A3:I3"/>
  </mergeCells>
  <phoneticPr fontId="23" type="noConversion"/>
  <printOptions horizontalCentered="1"/>
  <pageMargins left="0.51181102362204722" right="0.51181102362204722" top="0.70866141732283472" bottom="0.35433070866141736" header="0.31496062992125984" footer="0.31496062992125984"/>
  <pageSetup fitToHeight="5" orientation="portrait" horizontalDpi="3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opLeftCell="A37" zoomScalePageLayoutView="70" workbookViewId="0">
      <selection activeCell="B119" sqref="B119"/>
    </sheetView>
  </sheetViews>
  <sheetFormatPr baseColWidth="10" defaultRowHeight="15" customHeight="1" x14ac:dyDescent="0.25"/>
  <cols>
    <col min="1" max="1" width="52.85546875" customWidth="1"/>
    <col min="2" max="2" width="17.7109375" bestFit="1" customWidth="1"/>
    <col min="3" max="4" width="17" bestFit="1" customWidth="1"/>
    <col min="5" max="5" width="16.5703125" bestFit="1" customWidth="1"/>
    <col min="6" max="6" width="9.7109375" customWidth="1"/>
    <col min="7" max="7" width="11.28515625" bestFit="1" customWidth="1"/>
    <col min="8" max="8" width="10.7109375" bestFit="1" customWidth="1"/>
    <col min="17" max="17" width="8.85546875" customWidth="1"/>
  </cols>
  <sheetData>
    <row r="1" spans="1:9" ht="15" customHeight="1" x14ac:dyDescent="0.25">
      <c r="A1" s="796" t="s">
        <v>297</v>
      </c>
      <c r="B1" s="797"/>
      <c r="C1" s="797"/>
      <c r="D1" s="797"/>
      <c r="E1" s="798"/>
    </row>
    <row r="2" spans="1:9" ht="19.5" customHeight="1" x14ac:dyDescent="0.25">
      <c r="A2" s="839" t="s">
        <v>136</v>
      </c>
      <c r="B2" s="840"/>
      <c r="C2" s="840"/>
      <c r="D2" s="840"/>
      <c r="E2" s="841"/>
      <c r="F2" s="265"/>
      <c r="G2" s="265"/>
      <c r="H2" s="265"/>
      <c r="I2" s="266"/>
    </row>
    <row r="3" spans="1:9" ht="19.5" customHeight="1" thickBot="1" x14ac:dyDescent="0.3">
      <c r="A3" s="851" t="s">
        <v>0</v>
      </c>
      <c r="B3" s="852"/>
      <c r="C3" s="852"/>
      <c r="D3" s="852"/>
      <c r="E3" s="853"/>
      <c r="F3" s="265"/>
      <c r="G3" s="265"/>
      <c r="H3" s="265"/>
      <c r="I3" s="266"/>
    </row>
    <row r="4" spans="1:9" ht="15" customHeight="1" thickBot="1" x14ac:dyDescent="0.3">
      <c r="A4" s="848" t="s">
        <v>178</v>
      </c>
      <c r="B4" s="824" t="s">
        <v>343</v>
      </c>
      <c r="C4" s="825"/>
      <c r="D4" s="825"/>
      <c r="E4" s="826"/>
      <c r="F4" s="267"/>
      <c r="G4" s="267"/>
      <c r="H4" s="267"/>
    </row>
    <row r="5" spans="1:9" ht="15" customHeight="1" thickBot="1" x14ac:dyDescent="0.3">
      <c r="A5" s="835"/>
      <c r="B5" s="661" t="s">
        <v>5</v>
      </c>
      <c r="C5" s="662" t="s">
        <v>6</v>
      </c>
      <c r="D5" s="663" t="s">
        <v>7</v>
      </c>
      <c r="E5" s="663" t="s">
        <v>179</v>
      </c>
      <c r="F5" s="267"/>
      <c r="G5" s="267"/>
      <c r="H5" s="267"/>
    </row>
    <row r="6" spans="1:9" ht="16.5" customHeight="1" thickBot="1" x14ac:dyDescent="0.3">
      <c r="A6" s="673" t="s">
        <v>31</v>
      </c>
      <c r="B6" s="674">
        <f>SUM(C6:E6)</f>
        <v>11275750.25</v>
      </c>
      <c r="C6" s="674">
        <f>C7+C11+C20+C25+C29+C31+C38+C50+C69+C74+C77+C79+C82+C85+C88+C90+C92+C23</f>
        <v>3278946.25</v>
      </c>
      <c r="D6" s="674">
        <f>D7+D11+D20+D25+D29+D31+D38+D50+D69+D74+D77+D79+D82+D85+D88+D90+D92</f>
        <v>6292504</v>
      </c>
      <c r="E6" s="675">
        <f>E7+E11+E20+E25+E29+E31+E38+E50+E69+E74+E77+E79+E82+E85+E88+E90+E92</f>
        <v>1704300</v>
      </c>
      <c r="F6" s="267"/>
      <c r="G6" s="491"/>
      <c r="H6" s="267"/>
    </row>
    <row r="7" spans="1:9" s="18" customFormat="1" ht="15.75" customHeight="1" x14ac:dyDescent="0.25">
      <c r="A7" s="595" t="s">
        <v>180</v>
      </c>
      <c r="B7" s="596">
        <f>SUM(B8:B10)</f>
        <v>23000</v>
      </c>
      <c r="C7" s="596">
        <f>SUM(C8:C10)</f>
        <v>23000</v>
      </c>
      <c r="D7" s="596">
        <f>SUM(D8:D9)</f>
        <v>0</v>
      </c>
      <c r="E7" s="597">
        <f>SUM(E8:E9)</f>
        <v>0</v>
      </c>
      <c r="F7" s="268"/>
      <c r="G7" s="268"/>
      <c r="H7" s="268"/>
    </row>
    <row r="8" spans="1:9" ht="15.75" customHeight="1" x14ac:dyDescent="0.25">
      <c r="A8" s="269" t="str">
        <f>GUBERNATURA!A18</f>
        <v>Comision de Desarrollo e Inf.</v>
      </c>
      <c r="B8" s="270">
        <f>SUM(C8:E8)</f>
        <v>8000</v>
      </c>
      <c r="C8" s="270">
        <f>GUBERNATURA!G18</f>
        <v>8000</v>
      </c>
      <c r="D8" s="270"/>
      <c r="E8" s="271"/>
      <c r="F8" s="268"/>
      <c r="G8" s="268"/>
      <c r="H8" s="268"/>
    </row>
    <row r="9" spans="1:9" ht="15.75" customHeight="1" x14ac:dyDescent="0.25">
      <c r="A9" s="269" t="str">
        <f>GUBERNATURA!A19</f>
        <v>Unidad de Adquisiciones</v>
      </c>
      <c r="B9" s="270">
        <f>SUM(C9:E9)</f>
        <v>8000</v>
      </c>
      <c r="C9" s="270">
        <f>GUBERNATURA!G19</f>
        <v>8000</v>
      </c>
      <c r="D9" s="272">
        <f>GUBERNATURA!H18</f>
        <v>0</v>
      </c>
      <c r="E9" s="273">
        <f>GUBERNATURA!I18</f>
        <v>0</v>
      </c>
      <c r="F9" s="268"/>
      <c r="G9" s="268"/>
      <c r="H9" s="268"/>
    </row>
    <row r="10" spans="1:9" ht="15.75" customHeight="1" x14ac:dyDescent="0.25">
      <c r="A10" s="269" t="str">
        <f>GUBERNATURA!A20</f>
        <v>Org Operador de Carreteras</v>
      </c>
      <c r="B10" s="270">
        <f>SUM(C10:E10)</f>
        <v>7000</v>
      </c>
      <c r="C10" s="270">
        <f>GUBERNATURA!G20</f>
        <v>7000</v>
      </c>
      <c r="D10" s="630"/>
      <c r="E10" s="631"/>
      <c r="F10" s="268"/>
      <c r="G10" s="268"/>
      <c r="H10" s="268"/>
    </row>
    <row r="11" spans="1:9" s="18" customFormat="1" ht="15.75" customHeight="1" x14ac:dyDescent="0.25">
      <c r="A11" s="598" t="s">
        <v>181</v>
      </c>
      <c r="B11" s="599">
        <f>SUM(C11:E11)</f>
        <v>96728</v>
      </c>
      <c r="C11" s="599">
        <f>SUM(C12:C19)</f>
        <v>96728</v>
      </c>
      <c r="D11" s="599">
        <f>SUM(D12:D17)</f>
        <v>0</v>
      </c>
      <c r="E11" s="600">
        <f>SUM(E12:E17)</f>
        <v>0</v>
      </c>
      <c r="F11" s="274"/>
      <c r="G11" s="274"/>
      <c r="H11" s="274"/>
    </row>
    <row r="12" spans="1:9" ht="15.75" customHeight="1" x14ac:dyDescent="0.25">
      <c r="A12" s="275" t="str">
        <f>'S GOB.'!A17</f>
        <v>Inst. Pro-Veteranos de la Rev. del Sur</v>
      </c>
      <c r="B12" s="276">
        <f t="shared" ref="B12:B50" si="0">SUM(C12:E12)</f>
        <v>495</v>
      </c>
      <c r="C12" s="277">
        <f>'S GOB.'!G17</f>
        <v>495</v>
      </c>
      <c r="D12" s="277">
        <f>'S GOB.'!H17</f>
        <v>0</v>
      </c>
      <c r="E12" s="278">
        <f>'S GOB.'!I17</f>
        <v>0</v>
      </c>
      <c r="F12" s="279"/>
      <c r="G12" s="279"/>
      <c r="H12" s="279"/>
    </row>
    <row r="13" spans="1:9" ht="15.75" customHeight="1" x14ac:dyDescent="0.25">
      <c r="A13" s="275" t="str">
        <f>'S GOB.'!A18</f>
        <v>Com. Est. de Reservas Territoriales</v>
      </c>
      <c r="B13" s="276">
        <f t="shared" si="0"/>
        <v>6185</v>
      </c>
      <c r="C13" s="277">
        <f>'S GOB.'!G18</f>
        <v>6185</v>
      </c>
      <c r="D13" s="277">
        <f>'S GOB.'!H18</f>
        <v>0</v>
      </c>
      <c r="E13" s="278">
        <f>'S GOB.'!I18</f>
        <v>0</v>
      </c>
      <c r="F13" s="279"/>
      <c r="G13" s="279"/>
      <c r="H13" s="279"/>
    </row>
    <row r="14" spans="1:9" ht="15.75" customHeight="1" x14ac:dyDescent="0.25">
      <c r="A14" s="275" t="str">
        <f>'S GOB.'!A19</f>
        <v>Consejo Estatal de Población</v>
      </c>
      <c r="B14" s="276">
        <f t="shared" si="0"/>
        <v>2093</v>
      </c>
      <c r="C14" s="277">
        <f>'S GOB.'!G19</f>
        <v>2093</v>
      </c>
      <c r="D14" s="277">
        <f>'S GOB.'!H19</f>
        <v>0</v>
      </c>
      <c r="E14" s="278">
        <f>'S GOB.'!I19</f>
        <v>0</v>
      </c>
      <c r="F14" s="279"/>
      <c r="G14" s="279"/>
      <c r="H14" s="279"/>
    </row>
    <row r="15" spans="1:9" ht="15.75" customHeight="1" x14ac:dyDescent="0.25">
      <c r="A15" s="275" t="str">
        <f>'S GOB.'!A20</f>
        <v>Inst. Estatal de Protección Civil</v>
      </c>
      <c r="B15" s="276">
        <f t="shared" si="0"/>
        <v>7535</v>
      </c>
      <c r="C15" s="277">
        <f>'S GOB.'!G20</f>
        <v>7535</v>
      </c>
      <c r="D15" s="277">
        <f>'S GOB.'!H20</f>
        <v>0</v>
      </c>
      <c r="E15" s="278">
        <f>'S GOB.'!I20</f>
        <v>0</v>
      </c>
      <c r="F15" s="279"/>
      <c r="G15" s="279"/>
      <c r="H15" s="279"/>
    </row>
    <row r="16" spans="1:9" ht="15.75" x14ac:dyDescent="0.25">
      <c r="A16" s="275" t="str">
        <f>'S GOB.'!A21</f>
        <v xml:space="preserve">Inst. de Serv Registrales y Catastrales </v>
      </c>
      <c r="B16" s="276">
        <f t="shared" si="0"/>
        <v>26087</v>
      </c>
      <c r="C16" s="277">
        <f>'S GOB.'!G21</f>
        <v>26087</v>
      </c>
      <c r="D16" s="277">
        <f>'S GOB.'!H21</f>
        <v>0</v>
      </c>
      <c r="E16" s="278">
        <f>'S GOB.'!I21</f>
        <v>0</v>
      </c>
      <c r="F16" s="279"/>
      <c r="G16" s="279"/>
      <c r="H16" s="279"/>
    </row>
    <row r="17" spans="1:8" ht="15.75" customHeight="1" x14ac:dyDescent="0.25">
      <c r="A17" s="275" t="str">
        <f>'S GOB.'!A22</f>
        <v xml:space="preserve">Instituto de la Mujer </v>
      </c>
      <c r="B17" s="276">
        <f t="shared" si="0"/>
        <v>11583</v>
      </c>
      <c r="C17" s="277">
        <f>'S GOB.'!G22</f>
        <v>11583</v>
      </c>
      <c r="D17" s="277">
        <f>'S GOB.'!H22</f>
        <v>0</v>
      </c>
      <c r="E17" s="278">
        <f>'S GOB.'!I22</f>
        <v>0</v>
      </c>
      <c r="F17" s="279"/>
      <c r="G17" s="279"/>
      <c r="H17" s="279"/>
    </row>
    <row r="18" spans="1:8" ht="15.75" customHeight="1" x14ac:dyDescent="0.25">
      <c r="A18" s="275" t="str">
        <f>'S GOB.'!A23</f>
        <v>Alberge para Mujeres</v>
      </c>
      <c r="B18" s="276">
        <f t="shared" si="0"/>
        <v>2750</v>
      </c>
      <c r="C18" s="277">
        <f>'S GOB.'!G23</f>
        <v>2750</v>
      </c>
      <c r="D18" s="277"/>
      <c r="E18" s="278"/>
      <c r="F18" s="279"/>
      <c r="G18" s="279"/>
      <c r="H18" s="279"/>
    </row>
    <row r="19" spans="1:8" ht="15.75" customHeight="1" x14ac:dyDescent="0.25">
      <c r="A19" s="275" t="str">
        <f>'S GOB.'!A24</f>
        <v>Instituto Morelense de Radio y Televisión</v>
      </c>
      <c r="B19" s="276">
        <f t="shared" si="0"/>
        <v>40000</v>
      </c>
      <c r="C19" s="277">
        <f>'S GOB.'!G24</f>
        <v>40000</v>
      </c>
      <c r="D19" s="277"/>
      <c r="E19" s="278"/>
      <c r="F19" s="279"/>
      <c r="G19" s="279"/>
      <c r="H19" s="279"/>
    </row>
    <row r="20" spans="1:8" ht="15" customHeight="1" x14ac:dyDescent="0.25">
      <c r="A20" s="601" t="s">
        <v>113</v>
      </c>
      <c r="B20" s="602">
        <f t="shared" si="0"/>
        <v>1573</v>
      </c>
      <c r="C20" s="602">
        <f>SUM(C21:C22)</f>
        <v>1573</v>
      </c>
      <c r="D20" s="602">
        <f>SUM(D21:D21)</f>
        <v>0</v>
      </c>
      <c r="E20" s="603">
        <f>SUM(E21:E21)</f>
        <v>0</v>
      </c>
      <c r="F20" s="279"/>
      <c r="G20" s="279"/>
      <c r="H20" s="279"/>
    </row>
    <row r="21" spans="1:8" ht="15" customHeight="1" x14ac:dyDescent="0.25">
      <c r="A21" s="275" t="str">
        <f>'S HDA.'!A17</f>
        <v xml:space="preserve">Gastos de Ejecución Agentes Fiscales </v>
      </c>
      <c r="B21" s="276">
        <f t="shared" si="0"/>
        <v>1001</v>
      </c>
      <c r="C21" s="277">
        <f>'S HDA.'!G17</f>
        <v>1001</v>
      </c>
      <c r="D21" s="277">
        <f>'S HDA.'!H17</f>
        <v>0</v>
      </c>
      <c r="E21" s="278">
        <f>'S HDA.'!I17</f>
        <v>0</v>
      </c>
      <c r="F21" s="279"/>
      <c r="G21" s="279"/>
      <c r="H21" s="279"/>
    </row>
    <row r="22" spans="1:8" ht="15" customHeight="1" x14ac:dyDescent="0.25">
      <c r="A22" s="275" t="str">
        <f>'S HDA.'!A18</f>
        <v>INDETEC</v>
      </c>
      <c r="B22" s="276">
        <f t="shared" si="0"/>
        <v>572</v>
      </c>
      <c r="C22" s="277">
        <f>'S HDA.'!G18</f>
        <v>572</v>
      </c>
      <c r="D22" s="277">
        <f>'S HDA.'!H18</f>
        <v>0</v>
      </c>
      <c r="E22" s="278">
        <f>'S HDA.'!I18</f>
        <v>0</v>
      </c>
      <c r="F22" s="279"/>
      <c r="G22" s="279"/>
      <c r="H22" s="279"/>
    </row>
    <row r="23" spans="1:8" ht="15" customHeight="1" x14ac:dyDescent="0.25">
      <c r="A23" s="601" t="s">
        <v>577</v>
      </c>
      <c r="B23" s="602">
        <f>SUM(C23:E23)</f>
        <v>26871</v>
      </c>
      <c r="C23" s="602">
        <f>SUM(C24:C24)</f>
        <v>26871</v>
      </c>
      <c r="D23" s="602"/>
      <c r="E23" s="603"/>
      <c r="F23" s="279"/>
      <c r="G23" s="279"/>
      <c r="H23" s="279"/>
    </row>
    <row r="24" spans="1:8" ht="15" customHeight="1" x14ac:dyDescent="0.25">
      <c r="A24" s="275" t="s">
        <v>562</v>
      </c>
      <c r="B24" s="276">
        <f>SUM(C24:E24)</f>
        <v>26871</v>
      </c>
      <c r="C24" s="277">
        <f>PGJ!G17</f>
        <v>26871</v>
      </c>
      <c r="D24" s="277"/>
      <c r="E24" s="278"/>
      <c r="F24" s="279"/>
      <c r="G24" s="279"/>
      <c r="H24" s="279"/>
    </row>
    <row r="25" spans="1:8" s="18" customFormat="1" ht="15.75" customHeight="1" x14ac:dyDescent="0.25">
      <c r="A25" s="601" t="s">
        <v>114</v>
      </c>
      <c r="B25" s="602">
        <f t="shared" si="0"/>
        <v>10228</v>
      </c>
      <c r="C25" s="602">
        <f>SUM(C26:C28)</f>
        <v>10228</v>
      </c>
      <c r="D25" s="602">
        <f>SUM(D26:D28)</f>
        <v>0</v>
      </c>
      <c r="E25" s="603">
        <f>SUM(E26:E28)</f>
        <v>0</v>
      </c>
      <c r="F25" s="274"/>
      <c r="G25" s="274"/>
      <c r="H25" s="274"/>
    </row>
    <row r="26" spans="1:8" ht="15.75" customHeight="1" x14ac:dyDescent="0.25">
      <c r="A26" s="275" t="str">
        <f>'S ECONOM.'!A18</f>
        <v>Inst.Morelense para el Financ. Del Sector Productivo</v>
      </c>
      <c r="B26" s="276">
        <f t="shared" si="0"/>
        <v>4092</v>
      </c>
      <c r="C26" s="277">
        <f>SUM('S ECONOM.'!F18)</f>
        <v>4092</v>
      </c>
      <c r="D26" s="277">
        <v>0</v>
      </c>
      <c r="E26" s="278"/>
      <c r="F26" s="279"/>
      <c r="G26" s="279"/>
      <c r="H26" s="279"/>
    </row>
    <row r="27" spans="1:8" ht="15.75" customHeight="1" x14ac:dyDescent="0.25">
      <c r="A27" s="275" t="str">
        <f>'S ECONOM.'!A19</f>
        <v>Fideic.Fondo de Des.Emp.y Prom.de Inv.</v>
      </c>
      <c r="B27" s="276">
        <f t="shared" si="0"/>
        <v>1136</v>
      </c>
      <c r="C27" s="277">
        <f>SUM('S ECONOM.'!F19)</f>
        <v>1136</v>
      </c>
      <c r="D27" s="277">
        <v>0</v>
      </c>
      <c r="E27" s="278"/>
      <c r="F27" s="279"/>
      <c r="G27" s="279"/>
      <c r="H27" s="279"/>
    </row>
    <row r="28" spans="1:8" ht="15.75" customHeight="1" x14ac:dyDescent="0.25">
      <c r="A28" s="275" t="str">
        <f>'S ECONOM.'!A20</f>
        <v>Comisión Est.de Mejora Regulatoria</v>
      </c>
      <c r="B28" s="276">
        <f t="shared" si="0"/>
        <v>5000</v>
      </c>
      <c r="C28" s="277">
        <f>SUM('S ECONOM.'!F20)</f>
        <v>5000</v>
      </c>
      <c r="D28" s="277">
        <v>0</v>
      </c>
      <c r="E28" s="278"/>
      <c r="F28" s="279"/>
      <c r="G28" s="279"/>
      <c r="H28" s="279"/>
    </row>
    <row r="29" spans="1:8" s="18" customFormat="1" ht="15.75" customHeight="1" x14ac:dyDescent="0.25">
      <c r="A29" s="601" t="s">
        <v>182</v>
      </c>
      <c r="B29" s="602">
        <f t="shared" si="0"/>
        <v>3000</v>
      </c>
      <c r="C29" s="602">
        <f>SUM(C30:C30)</f>
        <v>3000</v>
      </c>
      <c r="D29" s="602">
        <f>SUM(D30:D30)</f>
        <v>0</v>
      </c>
      <c r="E29" s="603">
        <f>SUM(E30:E30)</f>
        <v>0</v>
      </c>
      <c r="F29" s="274"/>
      <c r="G29" s="274"/>
      <c r="H29" s="274"/>
    </row>
    <row r="30" spans="1:8" ht="15.75" customHeight="1" x14ac:dyDescent="0.25">
      <c r="A30" s="275" t="str">
        <f>'S OB. PUB.'!A18</f>
        <v>Instituto de Infraestructura Educat.</v>
      </c>
      <c r="B30" s="276">
        <f t="shared" si="0"/>
        <v>3000</v>
      </c>
      <c r="C30" s="277">
        <f>'S OB. PUB.'!G18</f>
        <v>3000</v>
      </c>
      <c r="D30" s="277">
        <v>0</v>
      </c>
      <c r="E30" s="278"/>
      <c r="F30" s="279"/>
      <c r="G30" s="279"/>
      <c r="H30" s="279"/>
    </row>
    <row r="31" spans="1:8" s="18" customFormat="1" ht="15.75" customHeight="1" x14ac:dyDescent="0.25">
      <c r="A31" s="601" t="s">
        <v>122</v>
      </c>
      <c r="B31" s="602">
        <f t="shared" si="0"/>
        <v>72630</v>
      </c>
      <c r="C31" s="602">
        <f>SUM(C32:C36)</f>
        <v>72630</v>
      </c>
      <c r="D31" s="602">
        <f>SUM(D33:D33)</f>
        <v>0</v>
      </c>
      <c r="E31" s="603"/>
      <c r="F31" s="274"/>
      <c r="G31" s="274"/>
      <c r="H31" s="274"/>
    </row>
    <row r="32" spans="1:8" s="18" customFormat="1" ht="15.75" customHeight="1" x14ac:dyDescent="0.25">
      <c r="A32" s="280" t="str">
        <f>'S SEG.PUB.'!A20</f>
        <v>Secretariado Ejecutivo</v>
      </c>
      <c r="B32" s="276">
        <f t="shared" si="0"/>
        <v>25000</v>
      </c>
      <c r="C32" s="276">
        <f>'S SEG.PUB.'!G20</f>
        <v>25000</v>
      </c>
      <c r="D32" s="697"/>
      <c r="E32" s="698"/>
      <c r="F32" s="274"/>
      <c r="G32" s="274"/>
      <c r="H32" s="274"/>
    </row>
    <row r="33" spans="1:8" ht="15.75" customHeight="1" x14ac:dyDescent="0.25">
      <c r="A33" s="280" t="str">
        <f>'S SEG.PUB.'!A21</f>
        <v>Policia Industrial Bancaria y Auxiliar</v>
      </c>
      <c r="B33" s="276">
        <f t="shared" si="0"/>
        <v>43459</v>
      </c>
      <c r="C33" s="276">
        <f>'S SEG.PUB.'!G21</f>
        <v>43459</v>
      </c>
      <c r="D33" s="277">
        <v>0</v>
      </c>
      <c r="E33" s="278">
        <v>0</v>
      </c>
      <c r="F33" s="274"/>
      <c r="G33" s="274"/>
      <c r="H33" s="274"/>
    </row>
    <row r="34" spans="1:8" ht="15.75" customHeight="1" x14ac:dyDescent="0.25">
      <c r="A34" s="280" t="str">
        <f>'S SEG.PUB.'!A22</f>
        <v>Industria Penitenciaria</v>
      </c>
      <c r="B34" s="276">
        <f t="shared" si="0"/>
        <v>1171</v>
      </c>
      <c r="C34" s="276">
        <f>'S SEG.PUB.'!G22</f>
        <v>1171</v>
      </c>
      <c r="D34" s="277">
        <v>0</v>
      </c>
      <c r="E34" s="278">
        <v>0</v>
      </c>
      <c r="F34" s="274"/>
      <c r="G34" s="274"/>
      <c r="H34" s="274"/>
    </row>
    <row r="35" spans="1:8" ht="15.75" customHeight="1" x14ac:dyDescent="0.25">
      <c r="A35" s="280" t="str">
        <f>'S SEG.PUB.'!A23</f>
        <v>Colegio Estatal de Seguridad Pública</v>
      </c>
      <c r="B35" s="276">
        <f t="shared" si="0"/>
        <v>0</v>
      </c>
      <c r="C35" s="276">
        <f>'S SEG.PUB.'!G23</f>
        <v>0</v>
      </c>
      <c r="D35" s="277">
        <v>0</v>
      </c>
      <c r="E35" s="278">
        <v>0</v>
      </c>
      <c r="F35" s="274"/>
      <c r="G35" s="274"/>
      <c r="H35" s="274"/>
    </row>
    <row r="36" spans="1:8" ht="15.75" customHeight="1" x14ac:dyDescent="0.25">
      <c r="A36" s="280" t="str">
        <f>'S SEG.PUB.'!A24</f>
        <v>Consejo Ciudadano para la Seguridad P</v>
      </c>
      <c r="B36" s="276">
        <f t="shared" si="0"/>
        <v>3000</v>
      </c>
      <c r="C36" s="276">
        <f>'S SEG.PUB.'!G24</f>
        <v>3000</v>
      </c>
      <c r="D36" s="277"/>
      <c r="E36" s="278"/>
      <c r="F36" s="274"/>
      <c r="G36" s="274"/>
      <c r="H36" s="274"/>
    </row>
    <row r="37" spans="1:8" ht="15.75" customHeight="1" x14ac:dyDescent="0.25">
      <c r="A37" s="201"/>
      <c r="B37" s="276"/>
      <c r="C37" s="277"/>
      <c r="D37" s="277"/>
      <c r="E37" s="278"/>
      <c r="F37" s="274"/>
      <c r="G37" s="274"/>
      <c r="H37" s="274"/>
    </row>
    <row r="38" spans="1:8" ht="15.75" customHeight="1" x14ac:dyDescent="0.25">
      <c r="A38" s="601" t="s">
        <v>186</v>
      </c>
      <c r="B38" s="602">
        <f t="shared" si="0"/>
        <v>2688514</v>
      </c>
      <c r="C38" s="602">
        <f>SUM(C39:C49)</f>
        <v>657000</v>
      </c>
      <c r="D38" s="602">
        <f t="shared" ref="D38:E38" si="1">SUM(D39:D44)</f>
        <v>1345377</v>
      </c>
      <c r="E38" s="603">
        <f t="shared" si="1"/>
        <v>686137</v>
      </c>
      <c r="F38" s="279"/>
      <c r="G38" s="279"/>
      <c r="H38" s="279"/>
    </row>
    <row r="39" spans="1:8" ht="15.75" customHeight="1" x14ac:dyDescent="0.25">
      <c r="A39" s="275" t="str">
        <f>'S SALUD'!A16</f>
        <v>Com.Est.de Arbitraje Médico</v>
      </c>
      <c r="B39" s="276">
        <f t="shared" si="0"/>
        <v>3000</v>
      </c>
      <c r="C39" s="277">
        <f>'S SALUD'!G16</f>
        <v>3000</v>
      </c>
      <c r="D39" s="277">
        <f>'S SALUD'!H16</f>
        <v>0</v>
      </c>
      <c r="E39" s="278">
        <f>'S SALUD'!I16</f>
        <v>0</v>
      </c>
      <c r="F39" s="279"/>
      <c r="G39" s="279"/>
      <c r="H39" s="279"/>
    </row>
    <row r="40" spans="1:8" ht="15.75" customHeight="1" x14ac:dyDescent="0.25">
      <c r="A40" s="275" t="str">
        <f>'S SALUD'!A17</f>
        <v>Hospital del Niño Morelense</v>
      </c>
      <c r="B40" s="526">
        <f t="shared" si="0"/>
        <v>171000</v>
      </c>
      <c r="C40" s="277">
        <f>'S SALUD'!G17</f>
        <v>171000</v>
      </c>
      <c r="D40" s="277">
        <f>'S SALUD'!H17</f>
        <v>0</v>
      </c>
      <c r="E40" s="278">
        <f>'S SALUD'!I17</f>
        <v>0</v>
      </c>
      <c r="F40" s="279"/>
      <c r="G40" s="279"/>
      <c r="H40" s="279"/>
    </row>
    <row r="41" spans="1:8" ht="15.75" customHeight="1" x14ac:dyDescent="0.25">
      <c r="A41" s="275" t="str">
        <f>'S SALUD'!A18</f>
        <v>Servicios de Salud de Morelos</v>
      </c>
      <c r="B41" s="276">
        <f t="shared" si="0"/>
        <v>1363493</v>
      </c>
      <c r="C41" s="277">
        <f>'S SALUD'!G18</f>
        <v>137000</v>
      </c>
      <c r="D41" s="277">
        <f>'S SALUD'!H18</f>
        <v>1226493</v>
      </c>
      <c r="E41" s="278">
        <f>'S SALUD'!I18</f>
        <v>0</v>
      </c>
      <c r="F41" s="279"/>
      <c r="G41" s="279"/>
      <c r="H41" s="279"/>
    </row>
    <row r="42" spans="1:8" ht="15.75" customHeight="1" x14ac:dyDescent="0.25">
      <c r="A42" s="275" t="str">
        <f>'S SALUD'!A19</f>
        <v>Reg.Est.de Protección Social en Salud</v>
      </c>
      <c r="B42" s="276">
        <f t="shared" si="0"/>
        <v>796137</v>
      </c>
      <c r="C42" s="277">
        <f>'S SALUD'!G19</f>
        <v>110000</v>
      </c>
      <c r="D42" s="277">
        <f>'S SALUD'!H19</f>
        <v>0</v>
      </c>
      <c r="E42" s="278">
        <f>'S SALUD'!I19</f>
        <v>686137</v>
      </c>
      <c r="F42" s="279"/>
      <c r="G42" s="279"/>
      <c r="H42" s="279"/>
    </row>
    <row r="43" spans="1:8" ht="15.75" customHeight="1" x14ac:dyDescent="0.25">
      <c r="A43" s="275" t="str">
        <f>'S SALUD'!A20</f>
        <v>Sist.para el Des.Integral de la Familia</v>
      </c>
      <c r="B43" s="467">
        <f t="shared" si="0"/>
        <v>214884</v>
      </c>
      <c r="C43" s="277">
        <f>'S SALUD'!G20</f>
        <v>96000</v>
      </c>
      <c r="D43" s="277">
        <f>'S SALUD'!H20</f>
        <v>118884</v>
      </c>
      <c r="E43" s="278">
        <f>'S SALUD'!I20</f>
        <v>0</v>
      </c>
      <c r="F43" s="279"/>
      <c r="G43" s="279"/>
      <c r="H43" s="279"/>
    </row>
    <row r="44" spans="1:8" ht="15.75" customHeight="1" x14ac:dyDescent="0.25">
      <c r="A44" s="275" t="str">
        <f>'S SALUD'!A26</f>
        <v xml:space="preserve">Provisión para el Sector Salud </v>
      </c>
      <c r="B44" s="467">
        <f t="shared" si="0"/>
        <v>75000</v>
      </c>
      <c r="C44" s="277">
        <f>'S SALUD'!G26</f>
        <v>75000</v>
      </c>
      <c r="D44" s="277">
        <f>'S SALUD'!H26</f>
        <v>0</v>
      </c>
      <c r="E44" s="278">
        <f>'S SALUD'!I26</f>
        <v>0</v>
      </c>
      <c r="F44" s="279"/>
      <c r="G44" s="279"/>
      <c r="H44" s="279"/>
    </row>
    <row r="45" spans="1:8" ht="15.75" customHeight="1" x14ac:dyDescent="0.25">
      <c r="A45" s="275" t="s">
        <v>573</v>
      </c>
      <c r="B45" s="467">
        <f t="shared" si="0"/>
        <v>12000</v>
      </c>
      <c r="C45" s="277">
        <f>'S SALUD'!G21</f>
        <v>12000</v>
      </c>
      <c r="D45" s="277"/>
      <c r="E45" s="278"/>
      <c r="F45" s="279"/>
      <c r="G45" s="279"/>
      <c r="H45" s="279"/>
    </row>
    <row r="46" spans="1:8" ht="15.75" customHeight="1" x14ac:dyDescent="0.25">
      <c r="A46" s="275" t="s">
        <v>438</v>
      </c>
      <c r="B46" s="467">
        <f t="shared" si="0"/>
        <v>20000</v>
      </c>
      <c r="C46" s="277">
        <f>'S SALUD'!G22</f>
        <v>20000</v>
      </c>
      <c r="D46" s="277"/>
      <c r="E46" s="278"/>
      <c r="F46" s="279"/>
      <c r="G46" s="279"/>
      <c r="H46" s="279"/>
    </row>
    <row r="47" spans="1:8" ht="15.75" customHeight="1" x14ac:dyDescent="0.25">
      <c r="A47" s="275" t="s">
        <v>574</v>
      </c>
      <c r="B47" s="467">
        <f t="shared" si="0"/>
        <v>20000</v>
      </c>
      <c r="C47" s="277">
        <f>'S SALUD'!G23</f>
        <v>20000</v>
      </c>
      <c r="D47" s="277"/>
      <c r="E47" s="278"/>
      <c r="F47" s="279"/>
      <c r="G47" s="279"/>
      <c r="H47" s="279"/>
    </row>
    <row r="48" spans="1:8" ht="15.75" customHeight="1" x14ac:dyDescent="0.25">
      <c r="A48" s="275" t="s">
        <v>575</v>
      </c>
      <c r="B48" s="467">
        <f t="shared" si="0"/>
        <v>10000</v>
      </c>
      <c r="C48" s="277">
        <f>'S SALUD'!G24</f>
        <v>10000</v>
      </c>
      <c r="D48" s="277"/>
      <c r="E48" s="278"/>
      <c r="F48" s="279"/>
      <c r="G48" s="279"/>
      <c r="H48" s="279"/>
    </row>
    <row r="49" spans="1:11" ht="15.75" customHeight="1" x14ac:dyDescent="0.25">
      <c r="A49" s="275" t="s">
        <v>576</v>
      </c>
      <c r="B49" s="467">
        <f t="shared" si="0"/>
        <v>3000</v>
      </c>
      <c r="C49" s="277">
        <f>'S SALUD'!G25</f>
        <v>3000</v>
      </c>
      <c r="D49" s="277"/>
      <c r="E49" s="278"/>
      <c r="F49" s="279"/>
      <c r="G49" s="279"/>
      <c r="H49" s="279"/>
    </row>
    <row r="50" spans="1:11" ht="15.75" customHeight="1" x14ac:dyDescent="0.25">
      <c r="A50" s="601" t="s">
        <v>187</v>
      </c>
      <c r="B50" s="602">
        <f t="shared" si="0"/>
        <v>7470904</v>
      </c>
      <c r="C50" s="602">
        <f>SUM(C51:C68)</f>
        <v>1505614</v>
      </c>
      <c r="D50" s="602">
        <f>SUM(D51:D67)</f>
        <v>4947127</v>
      </c>
      <c r="E50" s="603">
        <f>SUM(E51:E67)</f>
        <v>1018163</v>
      </c>
      <c r="F50" s="279"/>
      <c r="G50" s="279"/>
      <c r="H50" s="279"/>
    </row>
    <row r="51" spans="1:11" ht="15.75" customHeight="1" x14ac:dyDescent="0.25">
      <c r="A51" s="275" t="str">
        <f>'S EDUC.'!A15</f>
        <v>Colegio de Bachilleres</v>
      </c>
      <c r="B51" s="276">
        <f>SUM(C51:E51)</f>
        <v>57000</v>
      </c>
      <c r="C51" s="277">
        <f>'S EDUC.'!G15</f>
        <v>57000</v>
      </c>
      <c r="D51" s="277">
        <f>'S EDUC.'!H15</f>
        <v>0</v>
      </c>
      <c r="E51" s="278">
        <f>'S EDUC.'!I15</f>
        <v>0</v>
      </c>
      <c r="F51" s="279"/>
      <c r="H51" s="279"/>
    </row>
    <row r="52" spans="1:11" ht="15.75" customHeight="1" x14ac:dyDescent="0.25">
      <c r="A52" s="275" t="str">
        <f>'S EDUC.'!A16</f>
        <v>Centro de Invest.y Docencia en Hum.</v>
      </c>
      <c r="B52" s="276">
        <f t="shared" ref="B52:B67" si="2">SUM(C52:E52)</f>
        <v>8863</v>
      </c>
      <c r="C52" s="277">
        <f>'S EDUC.'!G16</f>
        <v>8863</v>
      </c>
      <c r="D52" s="277">
        <f>'S EDUC.'!H16</f>
        <v>0</v>
      </c>
      <c r="E52" s="278">
        <f>'S EDUC.'!I16</f>
        <v>0</v>
      </c>
      <c r="F52" s="279"/>
    </row>
    <row r="53" spans="1:11" ht="15.75" customHeight="1" x14ac:dyDescent="0.25">
      <c r="A53" s="275" t="str">
        <f>'S EDUC.'!A17</f>
        <v>Col.Nal.de Educ.Profesional Técnica</v>
      </c>
      <c r="B53" s="276">
        <f t="shared" si="2"/>
        <v>73197.389196146658</v>
      </c>
      <c r="C53" s="277">
        <f>'S EDUC.'!G17</f>
        <v>12500</v>
      </c>
      <c r="D53" s="277">
        <f>'S EDUC.'!H17</f>
        <v>58699.389196146658</v>
      </c>
      <c r="E53" s="278">
        <f>'S EDUC.'!I17</f>
        <v>1998</v>
      </c>
      <c r="F53" s="279"/>
    </row>
    <row r="54" spans="1:11" ht="15.75" customHeight="1" x14ac:dyDescent="0.25">
      <c r="A54" s="275" t="str">
        <f>'S EDUC.'!A18</f>
        <v>Inst.Estatal de Documentación</v>
      </c>
      <c r="B54" s="276">
        <f t="shared" si="2"/>
        <v>2800</v>
      </c>
      <c r="C54" s="277">
        <f>'S EDUC.'!G18</f>
        <v>2800</v>
      </c>
      <c r="D54" s="277">
        <f>'S EDUC.'!H18</f>
        <v>0</v>
      </c>
      <c r="E54" s="278">
        <f>'S EDUC.'!I18</f>
        <v>0</v>
      </c>
      <c r="F54" s="279"/>
    </row>
    <row r="55" spans="1:11" ht="15.75" customHeight="1" x14ac:dyDescent="0.25">
      <c r="A55" s="275" t="str">
        <f>'S EDUC.'!A19</f>
        <v>Universidad Autonoma del Edo.de Mor.</v>
      </c>
      <c r="B55" s="276">
        <f t="shared" si="2"/>
        <v>1174084</v>
      </c>
      <c r="C55" s="277">
        <f>'S EDUC.'!G19</f>
        <v>480000</v>
      </c>
      <c r="D55" s="277">
        <f>'S EDUC.'!H19</f>
        <v>0</v>
      </c>
      <c r="E55" s="278">
        <f>'S EDUC.'!I19</f>
        <v>694084</v>
      </c>
      <c r="F55" s="279"/>
    </row>
    <row r="56" spans="1:11" ht="15.75" customHeight="1" x14ac:dyDescent="0.25">
      <c r="A56" s="275" t="str">
        <f>'S EDUC.'!A20</f>
        <v>Inst.Est.de Educación para Adultos</v>
      </c>
      <c r="B56" s="276">
        <f t="shared" si="2"/>
        <v>46939.610803853349</v>
      </c>
      <c r="C56" s="277">
        <f>'S EDUC.'!G20</f>
        <v>4025</v>
      </c>
      <c r="D56" s="277">
        <f>'S EDUC.'!H20</f>
        <v>42914.610803853349</v>
      </c>
      <c r="E56" s="278">
        <f>'S EDUC.'!I20</f>
        <v>0</v>
      </c>
      <c r="F56" s="279"/>
    </row>
    <row r="57" spans="1:11" ht="15.75" customHeight="1" x14ac:dyDescent="0.25">
      <c r="A57" s="275" t="str">
        <f>'S EDUC.'!A21</f>
        <v>Col.de Est.Científicos y Tecnológicos</v>
      </c>
      <c r="B57" s="526">
        <f t="shared" si="2"/>
        <v>64701</v>
      </c>
      <c r="C57" s="277">
        <f>'S EDUC.'!G21</f>
        <v>19000</v>
      </c>
      <c r="D57" s="277">
        <f>'S EDUC.'!H21</f>
        <v>0</v>
      </c>
      <c r="E57" s="278">
        <f>'S EDUC.'!I21</f>
        <v>45701</v>
      </c>
      <c r="F57" s="279"/>
    </row>
    <row r="58" spans="1:11" ht="15.75" x14ac:dyDescent="0.25">
      <c r="A58" s="275" t="str">
        <f>'S EDUC.'!A22</f>
        <v>Universidad Tec.Emiliano Zapata</v>
      </c>
      <c r="B58" s="276">
        <f t="shared" si="2"/>
        <v>28001</v>
      </c>
      <c r="C58" s="277">
        <f>'S EDUC.'!G22</f>
        <v>28001</v>
      </c>
      <c r="D58" s="277">
        <f>'S EDUC.'!H22</f>
        <v>0</v>
      </c>
      <c r="E58" s="278">
        <f>'S EDUC.'!I22</f>
        <v>0</v>
      </c>
      <c r="F58" s="279"/>
    </row>
    <row r="59" spans="1:11" ht="15.75" customHeight="1" x14ac:dyDescent="0.25">
      <c r="A59" s="275" t="str">
        <f>'S EDUC.'!A23</f>
        <v>Universidad Politécnica</v>
      </c>
      <c r="B59" s="276">
        <f t="shared" si="2"/>
        <v>46380</v>
      </c>
      <c r="C59" s="277">
        <f>'S EDUC.'!G23</f>
        <v>22000</v>
      </c>
      <c r="D59" s="277">
        <f>'S EDUC.'!H23</f>
        <v>0</v>
      </c>
      <c r="E59" s="278">
        <f>'S EDUC.'!I23</f>
        <v>24380</v>
      </c>
      <c r="F59" s="279"/>
    </row>
    <row r="60" spans="1:11" ht="15.75" customHeight="1" x14ac:dyDescent="0.25">
      <c r="A60" s="275" t="str">
        <f>'S EDUC.'!A24</f>
        <v>Instituto de Educación Básica IEBEM</v>
      </c>
      <c r="B60" s="526">
        <f t="shared" si="2"/>
        <v>5634513</v>
      </c>
      <c r="C60" s="277">
        <f>'S EDUC.'!G24</f>
        <v>737000</v>
      </c>
      <c r="D60" s="277">
        <f>'S EDUC.'!H24</f>
        <v>4845513</v>
      </c>
      <c r="E60" s="278">
        <f>'S EDUC.'!I24</f>
        <v>52000</v>
      </c>
      <c r="F60" s="279"/>
    </row>
    <row r="61" spans="1:11" ht="15.75" customHeight="1" x14ac:dyDescent="0.25">
      <c r="A61" s="275" t="str">
        <f>'S EDUC.'!A25</f>
        <v>Coord.Est.del Subsist.de Prep.Abierta</v>
      </c>
      <c r="B61" s="276">
        <f t="shared" si="2"/>
        <v>3925</v>
      </c>
      <c r="C61" s="277">
        <f>'S EDUC.'!G25</f>
        <v>3925</v>
      </c>
      <c r="D61" s="277">
        <f>'S EDUC.'!H25</f>
        <v>0</v>
      </c>
      <c r="E61" s="278">
        <f>'S EDUC.'!I25</f>
        <v>0</v>
      </c>
      <c r="F61" s="279"/>
    </row>
    <row r="62" spans="1:11" ht="15.75" x14ac:dyDescent="0.25">
      <c r="A62" s="275" t="str">
        <f>'S EDUC.'!A26</f>
        <v>Prog. Becas Salario</v>
      </c>
      <c r="B62" s="276">
        <f t="shared" si="2"/>
        <v>222000</v>
      </c>
      <c r="C62" s="277">
        <f>'S EDUC.'!G26</f>
        <v>22000</v>
      </c>
      <c r="D62" s="277">
        <f>'S EDUC.'!H26</f>
        <v>0</v>
      </c>
      <c r="E62" s="278">
        <f>'S EDUC.'!I26</f>
        <v>200000</v>
      </c>
      <c r="F62" s="279"/>
    </row>
    <row r="63" spans="1:11" ht="15.75" customHeight="1" x14ac:dyDescent="0.25">
      <c r="A63" s="275" t="str">
        <f>'S EDUC.'!A27</f>
        <v>Prog.Esc.de Calidad (PEC) Morelos</v>
      </c>
      <c r="B63" s="276">
        <f t="shared" si="2"/>
        <v>7000</v>
      </c>
      <c r="C63" s="277">
        <f>'S EDUC.'!G27</f>
        <v>7000</v>
      </c>
      <c r="D63" s="277">
        <f>'S EDUC.'!H27</f>
        <v>0</v>
      </c>
      <c r="E63" s="278">
        <f>'S EDUC.'!I27</f>
        <v>0</v>
      </c>
      <c r="F63" s="279"/>
    </row>
    <row r="64" spans="1:11" s="282" customFormat="1" ht="15.75" customHeight="1" x14ac:dyDescent="0.25">
      <c r="A64" s="275" t="str">
        <f>'S EDUC.'!A28</f>
        <v>Programa de Equipamiento Escolar</v>
      </c>
      <c r="B64" s="276">
        <f t="shared" si="2"/>
        <v>7000</v>
      </c>
      <c r="C64" s="277">
        <f>'S EDUC.'!G28</f>
        <v>7000</v>
      </c>
      <c r="D64" s="277">
        <f>'S EDUC.'!H28</f>
        <v>0</v>
      </c>
      <c r="E64" s="278">
        <f>'S EDUC.'!I28</f>
        <v>0</v>
      </c>
      <c r="F64" s="279"/>
      <c r="H64"/>
      <c r="I64"/>
      <c r="J64"/>
      <c r="K64"/>
    </row>
    <row r="65" spans="1:11" ht="15.75" customHeight="1" x14ac:dyDescent="0.25">
      <c r="A65" s="275" t="str">
        <f>'S EDUC.'!A29</f>
        <v>Libros de Secundaria</v>
      </c>
      <c r="B65" s="276">
        <f t="shared" si="2"/>
        <v>3000</v>
      </c>
      <c r="C65" s="277">
        <f>'S EDUC.'!G29</f>
        <v>3000</v>
      </c>
      <c r="D65" s="277">
        <f>'S EDUC.'!H29</f>
        <v>0</v>
      </c>
      <c r="E65" s="278">
        <f>'S EDUC.'!I29</f>
        <v>0</v>
      </c>
      <c r="F65" s="279"/>
      <c r="H65" s="282"/>
      <c r="I65" s="282"/>
      <c r="J65" s="282"/>
      <c r="K65" s="282"/>
    </row>
    <row r="66" spans="1:11" ht="15.75" customHeight="1" x14ac:dyDescent="0.25">
      <c r="A66" s="275" t="str">
        <f>'S EDUC.'!A30</f>
        <v>Universidad Tecnológica del Sur</v>
      </c>
      <c r="B66" s="276">
        <f t="shared" si="2"/>
        <v>8500</v>
      </c>
      <c r="C66" s="277">
        <f>'S EDUC.'!G30</f>
        <v>8500</v>
      </c>
      <c r="D66" s="277">
        <f>'S EDUC.'!H30</f>
        <v>0</v>
      </c>
      <c r="E66" s="278">
        <f>'S EDUC.'!I30</f>
        <v>0</v>
      </c>
      <c r="F66" s="279"/>
    </row>
    <row r="67" spans="1:11" ht="15.75" customHeight="1" x14ac:dyDescent="0.25">
      <c r="A67" s="275" t="str">
        <f>'S EDUC.'!A31</f>
        <v>Prima Antigüedad Maestros Jubilados</v>
      </c>
      <c r="B67" s="276">
        <f t="shared" si="2"/>
        <v>20000</v>
      </c>
      <c r="C67" s="277">
        <f>'S EDUC.'!G31</f>
        <v>20000</v>
      </c>
      <c r="D67" s="277">
        <f>'S EDUC.'!H31</f>
        <v>0</v>
      </c>
      <c r="E67" s="278">
        <f>'S EDUC.'!I31</f>
        <v>0</v>
      </c>
      <c r="F67" s="279"/>
    </row>
    <row r="68" spans="1:11" ht="15.75" customHeight="1" x14ac:dyDescent="0.25">
      <c r="A68" s="275" t="s">
        <v>582</v>
      </c>
      <c r="B68" s="276">
        <f>SUM(C68:E68)</f>
        <v>63000</v>
      </c>
      <c r="C68" s="277">
        <f>'S EDUC.'!G32</f>
        <v>63000</v>
      </c>
      <c r="D68" s="277"/>
      <c r="E68" s="278"/>
      <c r="F68" s="279"/>
    </row>
    <row r="69" spans="1:11" ht="15.75" customHeight="1" x14ac:dyDescent="0.25">
      <c r="A69" s="601" t="s">
        <v>188</v>
      </c>
      <c r="B69" s="602">
        <f t="shared" ref="B69:B81" si="3">SUM(C69:E69)</f>
        <v>32928.25</v>
      </c>
      <c r="C69" s="602">
        <f>SUM(C70:C73)</f>
        <v>32928.25</v>
      </c>
      <c r="D69" s="602">
        <f>SUM(D70:D72)</f>
        <v>0</v>
      </c>
      <c r="E69" s="603">
        <f>SUM(E70:E72)</f>
        <v>0</v>
      </c>
      <c r="F69" s="279"/>
    </row>
    <row r="70" spans="1:11" ht="15.75" customHeight="1" x14ac:dyDescent="0.25">
      <c r="A70" s="275" t="str">
        <f>'S TURISMO'!A19</f>
        <v>Fideicomiso Lago de Tequesquitengo</v>
      </c>
      <c r="B70" s="276">
        <f t="shared" si="3"/>
        <v>1500</v>
      </c>
      <c r="C70" s="277">
        <f>'S TURISMO'!C19</f>
        <v>1500</v>
      </c>
      <c r="D70" s="277">
        <v>0</v>
      </c>
      <c r="E70" s="278"/>
      <c r="F70" s="279"/>
      <c r="G70" s="279"/>
      <c r="H70" s="279"/>
    </row>
    <row r="71" spans="1:11" ht="15.75" customHeight="1" x14ac:dyDescent="0.25">
      <c r="A71" s="275" t="str">
        <f>'S TURISMO'!A20</f>
        <v>Comisión de Filmaciones del Edo.de Mor.</v>
      </c>
      <c r="B71" s="276">
        <f t="shared" si="3"/>
        <v>698</v>
      </c>
      <c r="C71" s="277">
        <f>'S TURISMO'!C20</f>
        <v>698</v>
      </c>
      <c r="D71" s="277"/>
      <c r="E71" s="278"/>
      <c r="F71" s="279"/>
      <c r="G71" s="279"/>
      <c r="H71" s="279"/>
    </row>
    <row r="72" spans="1:11" ht="15.75" customHeight="1" x14ac:dyDescent="0.25">
      <c r="A72" s="275" t="str">
        <f>'S TURISMO'!A21</f>
        <v xml:space="preserve">Fideicomiso Turismo Morelos </v>
      </c>
      <c r="B72" s="276">
        <f t="shared" si="3"/>
        <v>25730.25</v>
      </c>
      <c r="C72" s="277">
        <f>'S TURISMO'!C21</f>
        <v>25730.25</v>
      </c>
      <c r="D72" s="277"/>
      <c r="E72" s="278"/>
      <c r="F72" s="279"/>
      <c r="G72" s="279"/>
      <c r="H72" s="279"/>
    </row>
    <row r="73" spans="1:11" ht="15.75" customHeight="1" x14ac:dyDescent="0.25">
      <c r="A73" s="275" t="str">
        <f>'S TURISMO'!A22</f>
        <v>Fideicomiso World Trade Center</v>
      </c>
      <c r="B73" s="276">
        <f t="shared" si="3"/>
        <v>5000</v>
      </c>
      <c r="C73" s="277">
        <f>'S TURISMO'!C22</f>
        <v>5000</v>
      </c>
      <c r="D73" s="277"/>
      <c r="E73" s="278"/>
      <c r="F73" s="279"/>
      <c r="G73" s="279"/>
    </row>
    <row r="74" spans="1:11" ht="15.75" customHeight="1" x14ac:dyDescent="0.25">
      <c r="A74" s="604" t="s">
        <v>189</v>
      </c>
      <c r="B74" s="602">
        <f t="shared" si="3"/>
        <v>60000</v>
      </c>
      <c r="C74" s="602">
        <f>SUM(C75:C76)</f>
        <v>60000</v>
      </c>
      <c r="D74" s="602">
        <f>SUM(D75:D76)</f>
        <v>0</v>
      </c>
      <c r="E74" s="603">
        <f>SUM(E75:E76)</f>
        <v>0</v>
      </c>
      <c r="F74" s="279"/>
      <c r="G74" s="279"/>
      <c r="H74" s="279"/>
    </row>
    <row r="75" spans="1:11" ht="15.75" customHeight="1" x14ac:dyDescent="0.25">
      <c r="A75" s="275" t="s">
        <v>190</v>
      </c>
      <c r="B75" s="276">
        <f t="shared" si="3"/>
        <v>0</v>
      </c>
      <c r="C75" s="277">
        <f>SUM('S ADMON.'!F16)</f>
        <v>0</v>
      </c>
      <c r="D75" s="277">
        <v>0</v>
      </c>
      <c r="E75" s="278"/>
      <c r="F75" s="279"/>
      <c r="G75" s="279"/>
      <c r="H75" s="279"/>
    </row>
    <row r="76" spans="1:11" ht="15.75" customHeight="1" x14ac:dyDescent="0.25">
      <c r="A76" s="283" t="s">
        <v>191</v>
      </c>
      <c r="B76" s="276">
        <f t="shared" si="3"/>
        <v>60000</v>
      </c>
      <c r="C76" s="277">
        <f>SUM('S ADMON.'!G17)</f>
        <v>60000</v>
      </c>
      <c r="D76" s="277">
        <f>SUM('S ADMON.'!H17)</f>
        <v>0</v>
      </c>
      <c r="E76" s="278">
        <f>SUM('S ADMON.'!I17)</f>
        <v>0</v>
      </c>
      <c r="F76" s="279"/>
      <c r="G76" s="279"/>
      <c r="H76" s="279"/>
    </row>
    <row r="77" spans="1:11" ht="15.75" customHeight="1" x14ac:dyDescent="0.25">
      <c r="A77" s="604" t="s">
        <v>192</v>
      </c>
      <c r="B77" s="602">
        <f t="shared" si="3"/>
        <v>2047</v>
      </c>
      <c r="C77" s="602">
        <f>SUM(C78)</f>
        <v>2047</v>
      </c>
      <c r="D77" s="602">
        <f>SUM(D78)</f>
        <v>0</v>
      </c>
      <c r="E77" s="603">
        <f>SUM(E78)</f>
        <v>0</v>
      </c>
      <c r="F77" s="279"/>
      <c r="G77" s="279"/>
      <c r="H77" s="279"/>
    </row>
    <row r="78" spans="1:11" ht="15.75" customHeight="1" x14ac:dyDescent="0.25">
      <c r="A78" s="283" t="s">
        <v>193</v>
      </c>
      <c r="B78" s="276">
        <f t="shared" si="3"/>
        <v>2047</v>
      </c>
      <c r="C78" s="277">
        <v>2047</v>
      </c>
      <c r="D78" s="277">
        <f>SUM('S ADMON.'!H19)</f>
        <v>0</v>
      </c>
      <c r="E78" s="278">
        <f>SUM('S ADMON.'!I19)</f>
        <v>0</v>
      </c>
      <c r="F78" s="279"/>
      <c r="G78" s="279"/>
      <c r="H78" s="279"/>
    </row>
    <row r="79" spans="1:11" ht="15.75" customHeight="1" x14ac:dyDescent="0.25">
      <c r="A79" s="604" t="s">
        <v>125</v>
      </c>
      <c r="B79" s="602">
        <f t="shared" si="3"/>
        <v>24750</v>
      </c>
      <c r="C79" s="602">
        <f>SUM(C80:C81)</f>
        <v>24750</v>
      </c>
      <c r="D79" s="602">
        <f>SUM(D80:D81)</f>
        <v>0</v>
      </c>
      <c r="E79" s="603">
        <f>SUM(E80:E81)</f>
        <v>0</v>
      </c>
      <c r="F79" s="279"/>
      <c r="G79" s="279"/>
      <c r="H79" s="279"/>
    </row>
    <row r="80" spans="1:11" ht="15.75" customHeight="1" x14ac:dyDescent="0.25">
      <c r="A80" s="275" t="str">
        <f>'S DES.SOC.'!A19</f>
        <v>Inst.del Deporte y Cultura Física</v>
      </c>
      <c r="B80" s="276">
        <f t="shared" si="3"/>
        <v>17480</v>
      </c>
      <c r="C80" s="277">
        <f>'S DES.SOC.'!G19</f>
        <v>17480</v>
      </c>
      <c r="D80" s="277">
        <f>'S DES.SOC.'!H19</f>
        <v>0</v>
      </c>
      <c r="E80" s="278">
        <f>'S DES.SOC.'!I19</f>
        <v>0</v>
      </c>
      <c r="F80" s="279"/>
      <c r="G80" s="279"/>
      <c r="H80" s="279"/>
    </row>
    <row r="81" spans="1:8" ht="15.75" customHeight="1" x14ac:dyDescent="0.25">
      <c r="A81" s="275" t="str">
        <f>'S DES.SOC.'!A20</f>
        <v>Instituto Morelense de la Juventud</v>
      </c>
      <c r="B81" s="276">
        <f t="shared" si="3"/>
        <v>7270</v>
      </c>
      <c r="C81" s="277">
        <f>'S DES.SOC.'!G20</f>
        <v>7270</v>
      </c>
      <c r="D81" s="277">
        <f>'S DES.SOC.'!H20</f>
        <v>0</v>
      </c>
      <c r="E81" s="278">
        <f>'S DES.SOC.'!I20</f>
        <v>0</v>
      </c>
      <c r="F81" s="279"/>
      <c r="G81" s="279"/>
      <c r="H81" s="279"/>
    </row>
    <row r="82" spans="1:8" ht="15.75" customHeight="1" x14ac:dyDescent="0.25">
      <c r="A82" s="604" t="s">
        <v>126</v>
      </c>
      <c r="B82" s="602">
        <f t="shared" ref="B82:B98" si="4">SUM(C82:E82)</f>
        <v>16031</v>
      </c>
      <c r="C82" s="602">
        <f>C83+C84</f>
        <v>16031</v>
      </c>
      <c r="D82" s="602">
        <f>SUM(D83:D84)</f>
        <v>0</v>
      </c>
      <c r="E82" s="603">
        <f>SUM(E83:E84)</f>
        <v>0</v>
      </c>
      <c r="F82" s="279"/>
      <c r="G82" s="279"/>
      <c r="H82" s="279"/>
    </row>
    <row r="83" spans="1:8" ht="15.75" customHeight="1" x14ac:dyDescent="0.25">
      <c r="A83" s="275" t="s">
        <v>195</v>
      </c>
      <c r="B83" s="276">
        <f t="shared" si="4"/>
        <v>9097</v>
      </c>
      <c r="C83" s="277">
        <f>'S TRABAJO'!G16</f>
        <v>9097</v>
      </c>
      <c r="D83" s="277">
        <f>'S TRABAJO'!H16</f>
        <v>0</v>
      </c>
      <c r="E83" s="278">
        <f>'S TRABAJO'!I16</f>
        <v>0</v>
      </c>
      <c r="F83" s="279"/>
      <c r="G83" s="279"/>
      <c r="H83" s="279"/>
    </row>
    <row r="84" spans="1:8" ht="15.75" customHeight="1" x14ac:dyDescent="0.25">
      <c r="A84" s="275" t="s">
        <v>196</v>
      </c>
      <c r="B84" s="276">
        <f t="shared" si="4"/>
        <v>6934</v>
      </c>
      <c r="C84" s="277">
        <f>'S TRABAJO'!G17</f>
        <v>6934</v>
      </c>
      <c r="D84" s="277">
        <f>'S TRABAJO'!H17</f>
        <v>0</v>
      </c>
      <c r="E84" s="278">
        <f>'S TRABAJO'!I17</f>
        <v>0</v>
      </c>
      <c r="F84" s="279"/>
      <c r="G84" s="279"/>
      <c r="H84" s="279"/>
    </row>
    <row r="85" spans="1:8" ht="15.75" customHeight="1" x14ac:dyDescent="0.25">
      <c r="A85" s="604" t="s">
        <v>127</v>
      </c>
      <c r="B85" s="602">
        <f t="shared" si="4"/>
        <v>18324</v>
      </c>
      <c r="C85" s="602">
        <f>C86+C87</f>
        <v>18324</v>
      </c>
      <c r="D85" s="602">
        <f>SUM(D86:D87)</f>
        <v>0</v>
      </c>
      <c r="E85" s="603">
        <f>SUM(E86:E87)</f>
        <v>0</v>
      </c>
      <c r="F85" s="279"/>
      <c r="G85" s="274"/>
      <c r="H85" s="279"/>
    </row>
    <row r="86" spans="1:8" ht="15.75" customHeight="1" x14ac:dyDescent="0.25">
      <c r="A86" s="275" t="s">
        <v>345</v>
      </c>
      <c r="B86" s="276">
        <f t="shared" si="4"/>
        <v>2923</v>
      </c>
      <c r="C86" s="277">
        <f>SUM('S CULT'!F17)</f>
        <v>2923</v>
      </c>
      <c r="D86" s="277">
        <v>0</v>
      </c>
      <c r="E86" s="278"/>
      <c r="F86" s="279"/>
      <c r="G86" s="279"/>
      <c r="H86" s="279"/>
    </row>
    <row r="87" spans="1:8" ht="15.75" customHeight="1" x14ac:dyDescent="0.25">
      <c r="A87" s="275" t="s">
        <v>197</v>
      </c>
      <c r="B87" s="276">
        <f t="shared" si="4"/>
        <v>15401</v>
      </c>
      <c r="C87" s="277">
        <f>SUM('S CULT'!F18)</f>
        <v>15401</v>
      </c>
      <c r="D87" s="277">
        <v>0</v>
      </c>
      <c r="E87" s="278"/>
      <c r="F87" s="279"/>
      <c r="G87" s="279"/>
      <c r="H87" s="279"/>
    </row>
    <row r="88" spans="1:8" ht="15.75" customHeight="1" x14ac:dyDescent="0.25">
      <c r="A88" s="604" t="s">
        <v>198</v>
      </c>
      <c r="B88" s="602">
        <f t="shared" si="4"/>
        <v>11000</v>
      </c>
      <c r="C88" s="602">
        <f>C89</f>
        <v>11000</v>
      </c>
      <c r="D88" s="602">
        <f>SUM(D89)</f>
        <v>0</v>
      </c>
      <c r="E88" s="603">
        <f>SUM(E89)</f>
        <v>0</v>
      </c>
      <c r="F88" s="274"/>
      <c r="G88" s="279"/>
      <c r="H88" s="279"/>
    </row>
    <row r="89" spans="1:8" ht="15.75" customHeight="1" x14ac:dyDescent="0.25">
      <c r="A89" s="275" t="s">
        <v>199</v>
      </c>
      <c r="B89" s="276">
        <f t="shared" si="4"/>
        <v>11000</v>
      </c>
      <c r="C89" s="277">
        <f>SUM('S INNOV.'!F16)</f>
        <v>11000</v>
      </c>
      <c r="D89" s="277">
        <v>0</v>
      </c>
      <c r="E89" s="278"/>
      <c r="F89" s="279"/>
      <c r="G89" s="279"/>
      <c r="H89" s="274"/>
    </row>
    <row r="90" spans="1:8" ht="15.75" customHeight="1" x14ac:dyDescent="0.25">
      <c r="A90" s="604" t="s">
        <v>128</v>
      </c>
      <c r="B90" s="602">
        <f t="shared" si="4"/>
        <v>30000</v>
      </c>
      <c r="C90" s="602">
        <f>C91</f>
        <v>30000</v>
      </c>
      <c r="D90" s="602">
        <f>SUM(D91)</f>
        <v>0</v>
      </c>
      <c r="E90" s="603">
        <f>SUM(E91:E91)</f>
        <v>0</v>
      </c>
      <c r="F90" s="279"/>
      <c r="G90" s="279"/>
      <c r="H90" s="279"/>
    </row>
    <row r="91" spans="1:8" ht="15.75" customHeight="1" x14ac:dyDescent="0.25">
      <c r="A91" s="275" t="s">
        <v>200</v>
      </c>
      <c r="B91" s="276">
        <f t="shared" si="4"/>
        <v>30000</v>
      </c>
      <c r="C91" s="277">
        <f>SUM('S DES. SUST.'!F17)</f>
        <v>30000</v>
      </c>
      <c r="D91" s="277">
        <v>0</v>
      </c>
      <c r="E91" s="278"/>
      <c r="F91" s="279"/>
      <c r="G91" s="279"/>
      <c r="H91" s="279"/>
    </row>
    <row r="92" spans="1:8" ht="15.75" customHeight="1" x14ac:dyDescent="0.25">
      <c r="A92" s="604" t="s">
        <v>201</v>
      </c>
      <c r="B92" s="602">
        <f t="shared" si="4"/>
        <v>687222</v>
      </c>
      <c r="C92" s="602">
        <f>C93+C94+C95+C96+C97+C98+C99+C100+C101+C102+C103+C104+C105+C106+C107+C108+C109+C110+C111+C112+C113+C114+C115+C117+C118+C119+C116</f>
        <v>687222</v>
      </c>
      <c r="D92" s="602">
        <f>SUM(D93:D120)</f>
        <v>0</v>
      </c>
      <c r="E92" s="603">
        <f>SUM(E93:E120)</f>
        <v>0</v>
      </c>
      <c r="F92" s="279"/>
      <c r="G92" s="279"/>
      <c r="H92" s="279"/>
    </row>
    <row r="93" spans="1:8" ht="15.75" customHeight="1" x14ac:dyDescent="0.25">
      <c r="A93" s="275" t="s">
        <v>202</v>
      </c>
      <c r="B93" s="276">
        <f t="shared" si="4"/>
        <v>2000</v>
      </c>
      <c r="C93" s="277">
        <v>2000</v>
      </c>
      <c r="D93" s="277">
        <v>0</v>
      </c>
      <c r="E93" s="278"/>
      <c r="F93" s="279"/>
      <c r="G93" s="279"/>
      <c r="H93" s="279"/>
    </row>
    <row r="94" spans="1:8" ht="15.75" customHeight="1" x14ac:dyDescent="0.25">
      <c r="A94" s="275" t="s">
        <v>203</v>
      </c>
      <c r="B94" s="276">
        <f t="shared" si="4"/>
        <v>3051</v>
      </c>
      <c r="C94" s="277">
        <v>3051</v>
      </c>
      <c r="D94" s="277">
        <v>0</v>
      </c>
      <c r="E94" s="278"/>
      <c r="F94" s="279"/>
      <c r="G94" s="279"/>
      <c r="H94" s="279"/>
    </row>
    <row r="95" spans="1:8" ht="15.75" customHeight="1" x14ac:dyDescent="0.25">
      <c r="A95" s="275" t="s">
        <v>204</v>
      </c>
      <c r="B95" s="276">
        <f t="shared" si="4"/>
        <v>2561</v>
      </c>
      <c r="C95" s="277">
        <v>2561</v>
      </c>
      <c r="D95" s="277">
        <v>0</v>
      </c>
      <c r="E95" s="278"/>
      <c r="F95" s="279"/>
      <c r="G95" s="279"/>
      <c r="H95" s="279"/>
    </row>
    <row r="96" spans="1:8" ht="15.75" customHeight="1" x14ac:dyDescent="0.25">
      <c r="A96" s="275" t="s">
        <v>205</v>
      </c>
      <c r="B96" s="276">
        <f t="shared" si="4"/>
        <v>108</v>
      </c>
      <c r="C96" s="277">
        <v>108</v>
      </c>
      <c r="D96" s="277">
        <v>0</v>
      </c>
      <c r="E96" s="278"/>
      <c r="F96" s="279"/>
      <c r="G96" s="279"/>
      <c r="H96" s="279"/>
    </row>
    <row r="97" spans="1:9" ht="18.75" customHeight="1" x14ac:dyDescent="0.25">
      <c r="A97" s="696" t="s">
        <v>206</v>
      </c>
      <c r="B97" s="276">
        <f t="shared" si="4"/>
        <v>2200</v>
      </c>
      <c r="C97" s="277">
        <v>2200</v>
      </c>
      <c r="D97" s="277">
        <v>0</v>
      </c>
      <c r="E97" s="278"/>
      <c r="F97" s="279"/>
      <c r="G97" s="279"/>
      <c r="H97" s="279"/>
    </row>
    <row r="98" spans="1:9" ht="15.75" customHeight="1" x14ac:dyDescent="0.25">
      <c r="A98" s="275" t="s">
        <v>207</v>
      </c>
      <c r="B98" s="276">
        <f t="shared" si="4"/>
        <v>25000</v>
      </c>
      <c r="C98" s="277">
        <v>25000</v>
      </c>
      <c r="D98" s="277">
        <v>0</v>
      </c>
      <c r="E98" s="278"/>
      <c r="F98" s="279"/>
      <c r="G98" s="279"/>
      <c r="H98" s="279"/>
    </row>
    <row r="99" spans="1:9" ht="15.75" customHeight="1" x14ac:dyDescent="0.25">
      <c r="A99" s="275" t="s">
        <v>208</v>
      </c>
      <c r="B99" s="276">
        <f t="shared" ref="B99:B119" si="5">SUM(C99:E99)</f>
        <v>1761</v>
      </c>
      <c r="C99" s="277">
        <v>1761</v>
      </c>
      <c r="D99" s="277">
        <v>0</v>
      </c>
      <c r="E99" s="278"/>
      <c r="F99" s="279"/>
      <c r="G99" s="279"/>
      <c r="H99" s="279"/>
    </row>
    <row r="100" spans="1:9" ht="15.75" customHeight="1" x14ac:dyDescent="0.25">
      <c r="A100" s="275" t="s">
        <v>209</v>
      </c>
      <c r="B100" s="276">
        <f t="shared" si="5"/>
        <v>82</v>
      </c>
      <c r="C100" s="277">
        <v>82</v>
      </c>
      <c r="D100" s="277">
        <v>0</v>
      </c>
      <c r="E100" s="278"/>
      <c r="F100" s="279"/>
      <c r="G100" s="279"/>
      <c r="H100" s="279"/>
    </row>
    <row r="101" spans="1:9" ht="15.75" customHeight="1" x14ac:dyDescent="0.25">
      <c r="A101" s="275" t="s">
        <v>210</v>
      </c>
      <c r="B101" s="276">
        <f t="shared" si="5"/>
        <v>345</v>
      </c>
      <c r="C101" s="277">
        <v>345</v>
      </c>
      <c r="D101" s="277">
        <v>0</v>
      </c>
      <c r="E101" s="278"/>
      <c r="F101" s="279"/>
      <c r="G101" s="279"/>
      <c r="H101" s="279"/>
    </row>
    <row r="102" spans="1:9" ht="15.75" customHeight="1" x14ac:dyDescent="0.25">
      <c r="A102" s="275" t="s">
        <v>211</v>
      </c>
      <c r="B102" s="276">
        <f t="shared" si="5"/>
        <v>1100</v>
      </c>
      <c r="C102" s="277">
        <v>1100</v>
      </c>
      <c r="D102" s="277">
        <v>0</v>
      </c>
      <c r="E102" s="278"/>
      <c r="F102" s="279"/>
      <c r="G102" s="279"/>
      <c r="H102" s="279"/>
    </row>
    <row r="103" spans="1:9" ht="15.75" customHeight="1" x14ac:dyDescent="0.25">
      <c r="A103" s="275" t="s">
        <v>212</v>
      </c>
      <c r="B103" s="276">
        <f t="shared" si="5"/>
        <v>220000</v>
      </c>
      <c r="C103" s="277">
        <v>220000</v>
      </c>
      <c r="D103" s="277"/>
      <c r="E103" s="278"/>
      <c r="F103" s="279"/>
      <c r="G103" s="279"/>
      <c r="H103" s="279"/>
    </row>
    <row r="104" spans="1:9" ht="15.75" customHeight="1" x14ac:dyDescent="0.25">
      <c r="A104" s="275" t="s">
        <v>213</v>
      </c>
      <c r="B104" s="276">
        <f t="shared" si="5"/>
        <v>180000</v>
      </c>
      <c r="C104" s="277">
        <v>180000</v>
      </c>
      <c r="D104" s="277">
        <v>0</v>
      </c>
      <c r="E104" s="278"/>
      <c r="F104" s="279"/>
      <c r="G104" s="279"/>
      <c r="H104" s="279"/>
    </row>
    <row r="105" spans="1:9" ht="15.75" customHeight="1" x14ac:dyDescent="0.25">
      <c r="A105" s="275" t="s">
        <v>214</v>
      </c>
      <c r="B105" s="276">
        <f t="shared" si="5"/>
        <v>7000</v>
      </c>
      <c r="C105" s="277">
        <v>7000</v>
      </c>
      <c r="D105" s="277">
        <v>0</v>
      </c>
      <c r="E105" s="278"/>
      <c r="F105" s="279"/>
      <c r="G105" s="279"/>
      <c r="H105" s="279"/>
    </row>
    <row r="106" spans="1:9" ht="15.75" customHeight="1" x14ac:dyDescent="0.25">
      <c r="A106" s="275" t="s">
        <v>215</v>
      </c>
      <c r="B106" s="276">
        <f t="shared" si="5"/>
        <v>525</v>
      </c>
      <c r="C106" s="277">
        <v>525</v>
      </c>
      <c r="D106" s="277">
        <v>0</v>
      </c>
      <c r="E106" s="278"/>
      <c r="F106" s="279"/>
      <c r="G106" s="279"/>
      <c r="H106" s="279"/>
    </row>
    <row r="107" spans="1:9" ht="15.75" customHeight="1" x14ac:dyDescent="0.25">
      <c r="A107" s="275" t="s">
        <v>281</v>
      </c>
      <c r="B107" s="276">
        <f t="shared" si="5"/>
        <v>121690</v>
      </c>
      <c r="C107" s="277">
        <v>121690</v>
      </c>
      <c r="D107" s="277">
        <v>0</v>
      </c>
      <c r="E107" s="278"/>
      <c r="F107" s="279"/>
      <c r="G107" s="274"/>
      <c r="H107" s="279"/>
      <c r="I107" s="5"/>
    </row>
    <row r="108" spans="1:9" ht="15.75" customHeight="1" x14ac:dyDescent="0.25">
      <c r="A108" s="275" t="s">
        <v>583</v>
      </c>
      <c r="B108" s="276">
        <f t="shared" si="5"/>
        <v>16000</v>
      </c>
      <c r="C108" s="277">
        <v>16000</v>
      </c>
      <c r="D108" s="277">
        <v>0</v>
      </c>
      <c r="E108" s="278"/>
      <c r="F108" s="279"/>
      <c r="H108" s="279"/>
    </row>
    <row r="109" spans="1:9" ht="16.5" customHeight="1" x14ac:dyDescent="0.25">
      <c r="A109" s="275" t="s">
        <v>216</v>
      </c>
      <c r="B109" s="276">
        <f t="shared" si="5"/>
        <v>20000</v>
      </c>
      <c r="C109" s="277">
        <v>20000</v>
      </c>
      <c r="D109" s="277">
        <v>0</v>
      </c>
      <c r="E109" s="278"/>
      <c r="H109" s="279"/>
    </row>
    <row r="110" spans="1:9" ht="15.75" customHeight="1" x14ac:dyDescent="0.25">
      <c r="A110" s="275" t="s">
        <v>217</v>
      </c>
      <c r="B110" s="276">
        <f t="shared" si="5"/>
        <v>18000</v>
      </c>
      <c r="C110" s="277">
        <v>18000</v>
      </c>
      <c r="D110" s="277">
        <v>0</v>
      </c>
      <c r="E110" s="278"/>
    </row>
    <row r="111" spans="1:9" ht="15.75" customHeight="1" x14ac:dyDescent="0.25">
      <c r="A111" s="275" t="s">
        <v>218</v>
      </c>
      <c r="B111" s="285">
        <f t="shared" si="5"/>
        <v>30000</v>
      </c>
      <c r="C111" s="277">
        <v>30000</v>
      </c>
      <c r="D111" s="277">
        <v>0</v>
      </c>
      <c r="E111" s="278"/>
    </row>
    <row r="112" spans="1:9" ht="15.75" customHeight="1" x14ac:dyDescent="0.25">
      <c r="A112" s="275" t="s">
        <v>219</v>
      </c>
      <c r="B112" s="285">
        <f t="shared" si="5"/>
        <v>10000</v>
      </c>
      <c r="C112" s="277">
        <v>10000</v>
      </c>
      <c r="D112" s="277">
        <v>0</v>
      </c>
      <c r="E112" s="278"/>
    </row>
    <row r="113" spans="1:5" ht="31.5" x14ac:dyDescent="0.25">
      <c r="A113" s="275" t="s">
        <v>555</v>
      </c>
      <c r="B113" s="285">
        <f t="shared" si="5"/>
        <v>3133</v>
      </c>
      <c r="C113" s="277">
        <v>3133</v>
      </c>
      <c r="D113" s="277"/>
      <c r="E113" s="278"/>
    </row>
    <row r="114" spans="1:5" ht="31.5" x14ac:dyDescent="0.25">
      <c r="A114" s="739" t="s">
        <v>565</v>
      </c>
      <c r="B114" s="740">
        <f t="shared" si="5"/>
        <v>2833</v>
      </c>
      <c r="C114" s="741">
        <v>2833</v>
      </c>
      <c r="D114" s="277"/>
      <c r="E114" s="278"/>
    </row>
    <row r="115" spans="1:5" ht="31.5" x14ac:dyDescent="0.25">
      <c r="A115" s="736" t="s">
        <v>566</v>
      </c>
      <c r="B115" s="737">
        <f t="shared" si="5"/>
        <v>2833</v>
      </c>
      <c r="C115" s="738">
        <v>2833</v>
      </c>
      <c r="D115" s="277"/>
      <c r="E115" s="278"/>
    </row>
    <row r="116" spans="1:5" ht="15.75" x14ac:dyDescent="0.25">
      <c r="A116" s="275" t="s">
        <v>584</v>
      </c>
      <c r="B116" s="285">
        <f t="shared" si="5"/>
        <v>1500</v>
      </c>
      <c r="C116" s="277">
        <v>1500</v>
      </c>
      <c r="D116" s="277"/>
      <c r="E116" s="278"/>
    </row>
    <row r="117" spans="1:5" ht="15.75" customHeight="1" x14ac:dyDescent="0.25">
      <c r="A117" s="275" t="s">
        <v>567</v>
      </c>
      <c r="B117" s="285">
        <f t="shared" si="5"/>
        <v>500</v>
      </c>
      <c r="C117" s="277">
        <v>500</v>
      </c>
      <c r="D117" s="277"/>
      <c r="E117" s="278"/>
    </row>
    <row r="118" spans="1:5" ht="15.75" customHeight="1" x14ac:dyDescent="0.25">
      <c r="A118" s="275" t="s">
        <v>569</v>
      </c>
      <c r="B118" s="285">
        <f t="shared" si="5"/>
        <v>9000</v>
      </c>
      <c r="C118" s="277">
        <v>9000</v>
      </c>
      <c r="D118" s="277"/>
      <c r="E118" s="278"/>
    </row>
    <row r="119" spans="1:5" ht="15.75" customHeight="1" x14ac:dyDescent="0.25">
      <c r="A119" s="275" t="s">
        <v>570</v>
      </c>
      <c r="B119" s="285">
        <f t="shared" si="5"/>
        <v>6000</v>
      </c>
      <c r="C119" s="277">
        <v>6000</v>
      </c>
      <c r="D119" s="277"/>
      <c r="E119" s="278"/>
    </row>
    <row r="120" spans="1:5" ht="15.75" customHeight="1" thickBot="1" x14ac:dyDescent="0.3">
      <c r="A120" s="723"/>
      <c r="B120" s="724"/>
      <c r="C120" s="725"/>
      <c r="D120" s="726"/>
      <c r="E120" s="727"/>
    </row>
    <row r="121" spans="1:5" ht="15" customHeight="1" x14ac:dyDescent="0.25">
      <c r="B121" s="286"/>
    </row>
    <row r="122" spans="1:5" ht="15" customHeight="1" x14ac:dyDescent="0.25">
      <c r="A122" s="287"/>
      <c r="B122" s="286"/>
      <c r="C122" s="94"/>
    </row>
    <row r="123" spans="1:5" ht="15" customHeight="1" x14ac:dyDescent="0.25">
      <c r="A123" s="266"/>
      <c r="B123" s="288"/>
    </row>
    <row r="124" spans="1:5" ht="15" customHeight="1" x14ac:dyDescent="0.25">
      <c r="A124" s="266"/>
      <c r="B124" s="288"/>
    </row>
    <row r="125" spans="1:5" ht="15" customHeight="1" x14ac:dyDescent="0.25">
      <c r="A125" s="266"/>
      <c r="B125" s="288"/>
    </row>
    <row r="126" spans="1:5" ht="15" customHeight="1" x14ac:dyDescent="0.25">
      <c r="A126" s="289"/>
      <c r="B126" s="290"/>
    </row>
    <row r="127" spans="1:5" ht="15" customHeight="1" x14ac:dyDescent="0.25">
      <c r="A127" s="291"/>
      <c r="B127" s="292"/>
    </row>
    <row r="128" spans="1:5" ht="15" customHeight="1" x14ac:dyDescent="0.25">
      <c r="A128" s="293"/>
      <c r="B128" s="274"/>
    </row>
    <row r="129" spans="1:2" ht="15" customHeight="1" x14ac:dyDescent="0.25">
      <c r="A129" s="294"/>
      <c r="B129" s="274"/>
    </row>
    <row r="130" spans="1:2" ht="15" customHeight="1" x14ac:dyDescent="0.25">
      <c r="A130" s="294"/>
      <c r="B130" s="295"/>
    </row>
    <row r="131" spans="1:2" ht="15" customHeight="1" x14ac:dyDescent="0.25">
      <c r="A131" s="296"/>
      <c r="B131" s="295"/>
    </row>
    <row r="132" spans="1:2" ht="15" customHeight="1" x14ac:dyDescent="0.25">
      <c r="A132" s="294"/>
      <c r="B132" s="295"/>
    </row>
    <row r="133" spans="1:2" ht="15" customHeight="1" x14ac:dyDescent="0.25">
      <c r="A133" s="294"/>
      <c r="B133" s="295"/>
    </row>
    <row r="134" spans="1:2" ht="15" customHeight="1" x14ac:dyDescent="0.25">
      <c r="A134" s="294"/>
      <c r="B134" s="295"/>
    </row>
    <row r="135" spans="1:2" ht="15" customHeight="1" x14ac:dyDescent="0.25">
      <c r="A135" s="297"/>
      <c r="B135" s="298"/>
    </row>
    <row r="136" spans="1:2" ht="15" customHeight="1" x14ac:dyDescent="0.25">
      <c r="A136" s="299"/>
      <c r="B136" s="298"/>
    </row>
    <row r="137" spans="1:2" ht="15" customHeight="1" x14ac:dyDescent="0.25">
      <c r="A137" s="300"/>
      <c r="B137" s="298"/>
    </row>
    <row r="138" spans="1:2" ht="15" customHeight="1" x14ac:dyDescent="0.25">
      <c r="A138" s="300"/>
      <c r="B138" s="298"/>
    </row>
    <row r="139" spans="1:2" ht="15" customHeight="1" x14ac:dyDescent="0.25">
      <c r="A139" s="300"/>
      <c r="B139" s="298"/>
    </row>
    <row r="140" spans="1:2" ht="15" customHeight="1" x14ac:dyDescent="0.25">
      <c r="A140" s="300"/>
      <c r="B140" s="298"/>
    </row>
    <row r="141" spans="1:2" ht="15" customHeight="1" x14ac:dyDescent="0.25">
      <c r="A141" s="289"/>
      <c r="B141" s="289"/>
    </row>
    <row r="142" spans="1:2" ht="15" customHeight="1" x14ac:dyDescent="0.25">
      <c r="A142" s="266"/>
      <c r="B142" s="266"/>
    </row>
    <row r="143" spans="1:2" ht="15" customHeight="1" x14ac:dyDescent="0.25">
      <c r="A143" s="266"/>
      <c r="B143" s="266"/>
    </row>
    <row r="144" spans="1:2" ht="15" customHeight="1" x14ac:dyDescent="0.25">
      <c r="A144" s="266"/>
      <c r="B144" s="266"/>
    </row>
    <row r="145" spans="1:2" ht="15" customHeight="1" x14ac:dyDescent="0.25">
      <c r="A145" s="266"/>
      <c r="B145" s="266"/>
    </row>
    <row r="146" spans="1:2" ht="15" customHeight="1" x14ac:dyDescent="0.25">
      <c r="A146" s="266"/>
      <c r="B146" s="266"/>
    </row>
    <row r="147" spans="1:2" ht="15" customHeight="1" x14ac:dyDescent="0.25">
      <c r="A147" s="266"/>
      <c r="B147" s="266"/>
    </row>
    <row r="148" spans="1:2" ht="15" customHeight="1" x14ac:dyDescent="0.25">
      <c r="A148" s="266"/>
      <c r="B148" s="266"/>
    </row>
    <row r="149" spans="1:2" ht="15" customHeight="1" x14ac:dyDescent="0.25">
      <c r="A149" s="266"/>
      <c r="B149" s="266"/>
    </row>
    <row r="150" spans="1:2" ht="15" customHeight="1" x14ac:dyDescent="0.25">
      <c r="A150" s="266"/>
      <c r="B150" s="266"/>
    </row>
    <row r="151" spans="1:2" ht="15" customHeight="1" x14ac:dyDescent="0.25">
      <c r="A151" s="266"/>
      <c r="B151" s="266"/>
    </row>
    <row r="152" spans="1:2" ht="15" customHeight="1" x14ac:dyDescent="0.25">
      <c r="A152" s="266"/>
      <c r="B152" s="266"/>
    </row>
    <row r="153" spans="1:2" ht="15" customHeight="1" x14ac:dyDescent="0.25">
      <c r="A153" s="266"/>
      <c r="B153" s="266"/>
    </row>
    <row r="154" spans="1:2" ht="15" customHeight="1" x14ac:dyDescent="0.25">
      <c r="A154" s="294"/>
      <c r="B154" s="295"/>
    </row>
    <row r="155" spans="1:2" ht="15" customHeight="1" x14ac:dyDescent="0.25">
      <c r="A155" s="266"/>
      <c r="B155" s="266"/>
    </row>
    <row r="156" spans="1:2" ht="15" customHeight="1" x14ac:dyDescent="0.25">
      <c r="A156" s="266"/>
      <c r="B156" s="266"/>
    </row>
    <row r="157" spans="1:2" ht="15" customHeight="1" x14ac:dyDescent="0.25">
      <c r="A157" s="266"/>
      <c r="B157" s="266"/>
    </row>
  </sheetData>
  <mergeCells count="5">
    <mergeCell ref="A2:E2"/>
    <mergeCell ref="A4:A5"/>
    <mergeCell ref="B4:E4"/>
    <mergeCell ref="A3:E3"/>
    <mergeCell ref="A1:E1"/>
  </mergeCells>
  <phoneticPr fontId="23" type="noConversion"/>
  <printOptions horizontalCentered="1"/>
  <pageMargins left="0.51181102362204722" right="0.51181102362204722" top="0.9055118110236221" bottom="0.70866141732283472" header="0.31496062992125984" footer="0.31496062992125984"/>
  <pageSetup scale="65" fitToHeight="2" orientation="portrait" horizontalDpi="300" r:id="rId1"/>
  <headerFooter>
    <oddFooter>&amp;CHoja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F34" sqref="F34"/>
    </sheetView>
  </sheetViews>
  <sheetFormatPr baseColWidth="10" defaultRowHeight="15" customHeight="1" x14ac:dyDescent="0.25"/>
  <cols>
    <col min="1" max="1" width="34" customWidth="1"/>
    <col min="2" max="2" width="15.28515625" hidden="1" customWidth="1"/>
    <col min="3" max="3" width="12.7109375" hidden="1" customWidth="1"/>
    <col min="4" max="4" width="15.28515625" hidden="1" customWidth="1"/>
    <col min="5" max="5" width="8.7109375" hidden="1" customWidth="1"/>
    <col min="6" max="6" width="15.28515625" bestFit="1" customWidth="1"/>
  </cols>
  <sheetData>
    <row r="1" spans="1:9" ht="15" customHeight="1" x14ac:dyDescent="0.25">
      <c r="A1" s="796" t="s">
        <v>298</v>
      </c>
      <c r="B1" s="797"/>
      <c r="C1" s="797"/>
      <c r="D1" s="797"/>
      <c r="E1" s="797"/>
      <c r="F1" s="797"/>
      <c r="G1" s="797"/>
      <c r="H1" s="797"/>
      <c r="I1" s="798"/>
    </row>
    <row r="2" spans="1:9" ht="21.95" customHeight="1" x14ac:dyDescent="0.25">
      <c r="A2" s="839" t="s">
        <v>23</v>
      </c>
      <c r="B2" s="840"/>
      <c r="C2" s="840"/>
      <c r="D2" s="840"/>
      <c r="E2" s="840"/>
      <c r="F2" s="840"/>
      <c r="G2" s="840"/>
      <c r="H2" s="840"/>
      <c r="I2" s="841"/>
    </row>
    <row r="3" spans="1:9" ht="21.95" customHeight="1" thickBot="1" x14ac:dyDescent="0.3">
      <c r="A3" s="851" t="s">
        <v>0</v>
      </c>
      <c r="B3" s="852"/>
      <c r="C3" s="852"/>
      <c r="D3" s="852"/>
      <c r="E3" s="852"/>
      <c r="F3" s="852"/>
      <c r="G3" s="852"/>
      <c r="H3" s="852"/>
      <c r="I3" s="853"/>
    </row>
    <row r="4" spans="1:9" ht="21.95" customHeight="1" thickBot="1" x14ac:dyDescent="0.3">
      <c r="A4" s="834" t="s">
        <v>356</v>
      </c>
      <c r="B4" s="824">
        <v>2010</v>
      </c>
      <c r="C4" s="826"/>
      <c r="D4" s="824">
        <v>2011</v>
      </c>
      <c r="E4" s="826"/>
      <c r="F4" s="824" t="s">
        <v>343</v>
      </c>
      <c r="G4" s="825"/>
      <c r="H4" s="825"/>
      <c r="I4" s="826"/>
    </row>
    <row r="5" spans="1:9" ht="21.95" customHeight="1" thickBot="1" x14ac:dyDescent="0.3">
      <c r="A5" s="835"/>
      <c r="B5" s="658" t="s">
        <v>3</v>
      </c>
      <c r="C5" s="659" t="s">
        <v>4</v>
      </c>
      <c r="D5" s="658" t="s">
        <v>3</v>
      </c>
      <c r="E5" s="659" t="s">
        <v>4</v>
      </c>
      <c r="F5" s="660" t="s">
        <v>5</v>
      </c>
      <c r="G5" s="660" t="s">
        <v>6</v>
      </c>
      <c r="H5" s="660" t="s">
        <v>7</v>
      </c>
      <c r="I5" s="660" t="s">
        <v>8</v>
      </c>
    </row>
    <row r="6" spans="1:9" ht="18" customHeight="1" x14ac:dyDescent="0.25">
      <c r="A6" s="605" t="s">
        <v>257</v>
      </c>
      <c r="B6" s="606"/>
      <c r="C6" s="606"/>
      <c r="D6" s="606">
        <f>SUM(D7)</f>
        <v>12013</v>
      </c>
      <c r="E6" s="606">
        <f>SUM(E7)</f>
        <v>5708</v>
      </c>
      <c r="F6" s="606">
        <f t="shared" ref="F6:F12" si="0">SUM(G6:I6)</f>
        <v>26428</v>
      </c>
      <c r="G6" s="606">
        <f>SUM(G7:G8)</f>
        <v>26428</v>
      </c>
      <c r="H6" s="606">
        <f>SUM(H7:H8)</f>
        <v>0</v>
      </c>
      <c r="I6" s="607">
        <f>SUM(I7:I8)</f>
        <v>0</v>
      </c>
    </row>
    <row r="7" spans="1:9" ht="18" customHeight="1" x14ac:dyDescent="0.25">
      <c r="A7" s="389" t="s">
        <v>259</v>
      </c>
      <c r="B7" s="264"/>
      <c r="C7" s="264"/>
      <c r="D7" s="318">
        <v>12013</v>
      </c>
      <c r="E7" s="318">
        <v>5708</v>
      </c>
      <c r="F7" s="318">
        <f t="shared" si="0"/>
        <v>3270</v>
      </c>
      <c r="G7" s="318">
        <v>3270</v>
      </c>
      <c r="H7" s="318"/>
      <c r="I7" s="319"/>
    </row>
    <row r="8" spans="1:9" ht="18" customHeight="1" x14ac:dyDescent="0.25">
      <c r="A8" s="389" t="s">
        <v>260</v>
      </c>
      <c r="B8" s="396"/>
      <c r="C8" s="396"/>
      <c r="D8" s="397" t="e">
        <f>SUM(#REF!)</f>
        <v>#REF!</v>
      </c>
      <c r="E8" s="397" t="e">
        <f>SUM(#REF!)</f>
        <v>#REF!</v>
      </c>
      <c r="F8" s="318">
        <f t="shared" si="0"/>
        <v>23158</v>
      </c>
      <c r="G8" s="318">
        <v>23158</v>
      </c>
      <c r="H8" s="318"/>
      <c r="I8" s="319"/>
    </row>
    <row r="9" spans="1:9" ht="18" customHeight="1" x14ac:dyDescent="0.25">
      <c r="A9" s="608" t="s">
        <v>256</v>
      </c>
      <c r="B9" s="609"/>
      <c r="C9" s="609"/>
      <c r="D9" s="610">
        <v>0</v>
      </c>
      <c r="E9" s="610">
        <v>0</v>
      </c>
      <c r="F9" s="610">
        <f t="shared" si="0"/>
        <v>85069</v>
      </c>
      <c r="G9" s="610">
        <f>SUM(G10:G11)</f>
        <v>85069</v>
      </c>
      <c r="H9" s="610">
        <f>SUM(H10:H11)</f>
        <v>0</v>
      </c>
      <c r="I9" s="611">
        <f>SUM(I10:I11)</f>
        <v>0</v>
      </c>
    </row>
    <row r="10" spans="1:9" ht="18" customHeight="1" x14ac:dyDescent="0.25">
      <c r="A10" s="389" t="s">
        <v>259</v>
      </c>
      <c r="B10" s="315"/>
      <c r="C10" s="315"/>
      <c r="D10" s="397" t="e">
        <f>SUM(#REF!,#REF!,#REF!,#REF!)</f>
        <v>#REF!</v>
      </c>
      <c r="E10" s="397" t="e">
        <f>SUM(#REF!,#REF!,#REF!,#REF!)</f>
        <v>#REF!</v>
      </c>
      <c r="F10" s="318">
        <f t="shared" si="0"/>
        <v>34312</v>
      </c>
      <c r="G10" s="318">
        <v>34312</v>
      </c>
      <c r="H10" s="318"/>
      <c r="I10" s="319"/>
    </row>
    <row r="11" spans="1:9" ht="18" customHeight="1" x14ac:dyDescent="0.25">
      <c r="A11" s="389" t="s">
        <v>260</v>
      </c>
      <c r="B11" s="264"/>
      <c r="C11" s="264"/>
      <c r="D11" s="397"/>
      <c r="E11" s="397"/>
      <c r="F11" s="318">
        <f t="shared" si="0"/>
        <v>50757</v>
      </c>
      <c r="G11" s="318">
        <v>50757</v>
      </c>
      <c r="H11" s="318"/>
      <c r="I11" s="319"/>
    </row>
    <row r="12" spans="1:9" ht="18" customHeight="1" x14ac:dyDescent="0.25">
      <c r="A12" s="608" t="s">
        <v>261</v>
      </c>
      <c r="B12" s="612"/>
      <c r="C12" s="612"/>
      <c r="D12" s="610"/>
      <c r="E12" s="610"/>
      <c r="F12" s="610">
        <f t="shared" si="0"/>
        <v>350</v>
      </c>
      <c r="G12" s="610">
        <f>SUM(G13:G14)</f>
        <v>350</v>
      </c>
      <c r="H12" s="610">
        <f>SUM(H13:H14)</f>
        <v>0</v>
      </c>
      <c r="I12" s="611">
        <f>SUM(I13:I14)</f>
        <v>0</v>
      </c>
    </row>
    <row r="13" spans="1:9" ht="18" customHeight="1" x14ac:dyDescent="0.25">
      <c r="A13" s="389" t="s">
        <v>259</v>
      </c>
      <c r="B13" s="264"/>
      <c r="C13" s="264"/>
      <c r="D13" s="397"/>
      <c r="E13" s="397"/>
      <c r="F13" s="318">
        <f t="shared" ref="F13:F26" si="1">SUM(G13:I13)</f>
        <v>350</v>
      </c>
      <c r="G13" s="318">
        <v>350</v>
      </c>
      <c r="H13" s="318"/>
      <c r="I13" s="319"/>
    </row>
    <row r="14" spans="1:9" ht="18" customHeight="1" x14ac:dyDescent="0.25">
      <c r="A14" s="389"/>
      <c r="B14" s="264"/>
      <c r="C14" s="264"/>
      <c r="D14" s="397"/>
      <c r="E14" s="397"/>
      <c r="F14" s="318">
        <f t="shared" si="1"/>
        <v>0</v>
      </c>
      <c r="G14" s="318"/>
      <c r="H14" s="318"/>
      <c r="I14" s="319"/>
    </row>
    <row r="15" spans="1:9" ht="18" customHeight="1" x14ac:dyDescent="0.25">
      <c r="A15" s="608" t="s">
        <v>258</v>
      </c>
      <c r="B15" s="612"/>
      <c r="C15" s="612"/>
      <c r="D15" s="610"/>
      <c r="E15" s="610"/>
      <c r="F15" s="610">
        <f t="shared" si="1"/>
        <v>91031</v>
      </c>
      <c r="G15" s="610">
        <f>SUM(G16:G17)</f>
        <v>91031</v>
      </c>
      <c r="H15" s="610">
        <f>SUM(H16:H17)</f>
        <v>0</v>
      </c>
      <c r="I15" s="611">
        <f>SUM(I16:I17)</f>
        <v>0</v>
      </c>
    </row>
    <row r="16" spans="1:9" ht="18" customHeight="1" x14ac:dyDescent="0.25">
      <c r="A16" s="389" t="s">
        <v>259</v>
      </c>
      <c r="B16" s="264"/>
      <c r="C16" s="264"/>
      <c r="D16" s="397"/>
      <c r="E16" s="397"/>
      <c r="F16" s="318">
        <f t="shared" si="1"/>
        <v>37460</v>
      </c>
      <c r="G16" s="318">
        <v>37460</v>
      </c>
      <c r="H16" s="318"/>
      <c r="I16" s="319"/>
    </row>
    <row r="17" spans="1:9" ht="18" customHeight="1" x14ac:dyDescent="0.25">
      <c r="A17" s="389" t="s">
        <v>260</v>
      </c>
      <c r="B17" s="315"/>
      <c r="C17" s="315"/>
      <c r="D17" s="397" t="e">
        <f>SUM(#REF!)</f>
        <v>#REF!</v>
      </c>
      <c r="E17" s="397" t="e">
        <f>SUM(#REF!)</f>
        <v>#REF!</v>
      </c>
      <c r="F17" s="318">
        <f t="shared" si="1"/>
        <v>53571</v>
      </c>
      <c r="G17" s="318">
        <v>53571</v>
      </c>
      <c r="H17" s="318"/>
      <c r="I17" s="319"/>
    </row>
    <row r="18" spans="1:9" ht="18" customHeight="1" x14ac:dyDescent="0.25">
      <c r="A18" s="613" t="s">
        <v>335</v>
      </c>
      <c r="B18" s="612"/>
      <c r="C18" s="612"/>
      <c r="D18" s="614">
        <v>0</v>
      </c>
      <c r="E18" s="614">
        <v>29098</v>
      </c>
      <c r="F18" s="610">
        <f t="shared" ref="F18:F22" si="2">SUM(G18:I18)</f>
        <v>30485</v>
      </c>
      <c r="G18" s="610">
        <f>SUM(G19:G20)</f>
        <v>30485</v>
      </c>
      <c r="H18" s="610">
        <f>SUM(H19)</f>
        <v>0</v>
      </c>
      <c r="I18" s="611">
        <f>SUM(I19)</f>
        <v>0</v>
      </c>
    </row>
    <row r="19" spans="1:9" ht="18" customHeight="1" x14ac:dyDescent="0.25">
      <c r="A19" s="389" t="s">
        <v>259</v>
      </c>
      <c r="B19" s="264"/>
      <c r="C19" s="264"/>
      <c r="D19" s="318"/>
      <c r="E19" s="318"/>
      <c r="F19" s="318">
        <f t="shared" si="2"/>
        <v>30485</v>
      </c>
      <c r="G19" s="318">
        <v>30485</v>
      </c>
      <c r="H19" s="318"/>
      <c r="I19" s="319"/>
    </row>
    <row r="20" spans="1:9" ht="18" customHeight="1" x14ac:dyDescent="0.25">
      <c r="A20" s="613" t="s">
        <v>336</v>
      </c>
      <c r="B20" s="612"/>
      <c r="C20" s="612"/>
      <c r="D20" s="614">
        <v>0</v>
      </c>
      <c r="E20" s="614">
        <v>29098</v>
      </c>
      <c r="F20" s="610">
        <f t="shared" si="2"/>
        <v>164535</v>
      </c>
      <c r="G20" s="610">
        <f>SUM(G21:G22)</f>
        <v>0</v>
      </c>
      <c r="H20" s="610">
        <f>SUM(H21:H22)</f>
        <v>164535</v>
      </c>
      <c r="I20" s="611">
        <f>SUM(I21:I22)</f>
        <v>0</v>
      </c>
    </row>
    <row r="21" spans="1:9" ht="18" customHeight="1" x14ac:dyDescent="0.25">
      <c r="A21" s="389" t="s">
        <v>259</v>
      </c>
      <c r="B21" s="264"/>
      <c r="C21" s="264"/>
      <c r="D21" s="318"/>
      <c r="E21" s="318"/>
      <c r="F21" s="318">
        <f t="shared" si="2"/>
        <v>30427</v>
      </c>
      <c r="G21" s="318">
        <v>0</v>
      </c>
      <c r="H21" s="318">
        <v>30427</v>
      </c>
      <c r="I21" s="319"/>
    </row>
    <row r="22" spans="1:9" ht="18" customHeight="1" x14ac:dyDescent="0.25">
      <c r="A22" s="389" t="s">
        <v>260</v>
      </c>
      <c r="B22" s="264"/>
      <c r="C22" s="264"/>
      <c r="D22" s="318"/>
      <c r="E22" s="318"/>
      <c r="F22" s="318">
        <f t="shared" si="2"/>
        <v>134108</v>
      </c>
      <c r="G22" s="318">
        <v>0</v>
      </c>
      <c r="H22" s="318">
        <v>134108</v>
      </c>
      <c r="I22" s="319"/>
    </row>
    <row r="23" spans="1:9" ht="18" customHeight="1" x14ac:dyDescent="0.25">
      <c r="A23" s="613" t="s">
        <v>337</v>
      </c>
      <c r="B23" s="612"/>
      <c r="C23" s="612"/>
      <c r="D23" s="614">
        <v>0</v>
      </c>
      <c r="E23" s="614">
        <v>29098</v>
      </c>
      <c r="F23" s="610">
        <f t="shared" ref="F23:F25" si="3">SUM(G23:I23)</f>
        <v>14199</v>
      </c>
      <c r="G23" s="610">
        <f>SUM(G24:G25)</f>
        <v>0</v>
      </c>
      <c r="H23" s="610">
        <f>SUM(H24:H25)</f>
        <v>14199</v>
      </c>
      <c r="I23" s="611">
        <f>SUM(I24:I25)</f>
        <v>0</v>
      </c>
    </row>
    <row r="24" spans="1:9" ht="18" customHeight="1" x14ac:dyDescent="0.25">
      <c r="A24" s="389" t="s">
        <v>259</v>
      </c>
      <c r="B24" s="264"/>
      <c r="C24" s="264"/>
      <c r="D24" s="318"/>
      <c r="E24" s="318"/>
      <c r="F24" s="318">
        <f t="shared" si="3"/>
        <v>3952</v>
      </c>
      <c r="G24" s="318">
        <v>0</v>
      </c>
      <c r="H24" s="318">
        <v>3952</v>
      </c>
      <c r="I24" s="319"/>
    </row>
    <row r="25" spans="1:9" ht="18" customHeight="1" x14ac:dyDescent="0.25">
      <c r="A25" s="389" t="s">
        <v>260</v>
      </c>
      <c r="B25" s="264"/>
      <c r="C25" s="264"/>
      <c r="D25" s="318"/>
      <c r="E25" s="318"/>
      <c r="F25" s="318">
        <f t="shared" si="3"/>
        <v>10247</v>
      </c>
      <c r="G25" s="318"/>
      <c r="H25" s="318">
        <v>10247</v>
      </c>
      <c r="I25" s="319"/>
    </row>
    <row r="26" spans="1:9" ht="18" customHeight="1" x14ac:dyDescent="0.25">
      <c r="A26" s="608" t="s">
        <v>262</v>
      </c>
      <c r="B26" s="612"/>
      <c r="C26" s="612"/>
      <c r="D26" s="614"/>
      <c r="E26" s="614"/>
      <c r="F26" s="610">
        <f t="shared" si="1"/>
        <v>5126</v>
      </c>
      <c r="G26" s="610">
        <f>SUM(G27:G28)</f>
        <v>5126</v>
      </c>
      <c r="H26" s="610">
        <f>SUM(H27:H28)</f>
        <v>0</v>
      </c>
      <c r="I26" s="611">
        <f>SUM(I27:I28)</f>
        <v>0</v>
      </c>
    </row>
    <row r="27" spans="1:9" ht="18" customHeight="1" x14ac:dyDescent="0.25">
      <c r="A27" s="389" t="s">
        <v>263</v>
      </c>
      <c r="B27" s="264"/>
      <c r="C27" s="264"/>
      <c r="D27" s="318"/>
      <c r="E27" s="318"/>
      <c r="F27" s="318">
        <f t="shared" ref="F27:F31" si="4">SUM(G27:I27)</f>
        <v>3112</v>
      </c>
      <c r="G27" s="318">
        <v>3112</v>
      </c>
      <c r="H27" s="318"/>
      <c r="I27" s="319"/>
    </row>
    <row r="28" spans="1:9" ht="18" customHeight="1" x14ac:dyDescent="0.25">
      <c r="A28" s="389" t="s">
        <v>264</v>
      </c>
      <c r="B28" s="264"/>
      <c r="C28" s="264"/>
      <c r="D28" s="318"/>
      <c r="E28" s="318"/>
      <c r="F28" s="318">
        <f t="shared" si="4"/>
        <v>2014</v>
      </c>
      <c r="G28" s="318">
        <v>2014</v>
      </c>
      <c r="H28" s="318"/>
      <c r="I28" s="319"/>
    </row>
    <row r="29" spans="1:9" ht="18" customHeight="1" x14ac:dyDescent="0.25">
      <c r="A29" s="608" t="s">
        <v>338</v>
      </c>
      <c r="B29" s="612"/>
      <c r="C29" s="612"/>
      <c r="D29" s="614"/>
      <c r="E29" s="614"/>
      <c r="F29" s="610">
        <f t="shared" si="4"/>
        <v>159961</v>
      </c>
      <c r="G29" s="615">
        <f>SUM(G30:G31)</f>
        <v>159961</v>
      </c>
      <c r="H29" s="610">
        <f>SUM(H30:H31)</f>
        <v>0</v>
      </c>
      <c r="I29" s="611">
        <f>SUM(I30:I31)</f>
        <v>0</v>
      </c>
    </row>
    <row r="30" spans="1:9" ht="18" customHeight="1" x14ac:dyDescent="0.25">
      <c r="A30" s="403" t="s">
        <v>259</v>
      </c>
      <c r="B30" s="404"/>
      <c r="C30" s="404"/>
      <c r="D30" s="405"/>
      <c r="E30" s="405"/>
      <c r="F30" s="405">
        <f t="shared" si="4"/>
        <v>159961</v>
      </c>
      <c r="G30" s="405">
        <v>159961</v>
      </c>
      <c r="H30" s="405"/>
      <c r="I30" s="406"/>
    </row>
    <row r="31" spans="1:9" ht="18" customHeight="1" x14ac:dyDescent="0.25">
      <c r="A31" s="403" t="s">
        <v>260</v>
      </c>
      <c r="B31" s="404"/>
      <c r="C31" s="404"/>
      <c r="D31" s="405"/>
      <c r="E31" s="405"/>
      <c r="F31" s="405">
        <f t="shared" si="4"/>
        <v>0</v>
      </c>
      <c r="G31" s="405">
        <v>0</v>
      </c>
      <c r="H31" s="405"/>
      <c r="I31" s="406"/>
    </row>
    <row r="32" spans="1:9" ht="18" customHeight="1" thickBot="1" x14ac:dyDescent="0.3">
      <c r="A32" s="400"/>
      <c r="B32" s="398"/>
      <c r="C32" s="398"/>
      <c r="D32" s="399"/>
      <c r="E32" s="399"/>
      <c r="F32" s="401"/>
      <c r="G32" s="401"/>
      <c r="H32" s="401"/>
      <c r="I32" s="402"/>
    </row>
    <row r="33" spans="1:9" ht="21.95" customHeight="1" thickBot="1" x14ac:dyDescent="0.3">
      <c r="A33" s="669" t="s">
        <v>255</v>
      </c>
      <c r="B33" s="672">
        <v>39456</v>
      </c>
      <c r="C33" s="672">
        <v>31677</v>
      </c>
      <c r="D33" s="670" t="e">
        <f>SUM(D10,D17)</f>
        <v>#REF!</v>
      </c>
      <c r="E33" s="670" t="e">
        <f>SUM(E10,E17)</f>
        <v>#REF!</v>
      </c>
      <c r="F33" s="670">
        <f>F6+F9+F12+F15+F18+F20+F23+F26+F29+F32</f>
        <v>577184</v>
      </c>
      <c r="G33" s="670">
        <f t="shared" ref="G33:I33" si="5">G6+G9+G12+G15+G18+G20+G23+G26+G29+G32</f>
        <v>398450</v>
      </c>
      <c r="H33" s="670">
        <f t="shared" si="5"/>
        <v>178734</v>
      </c>
      <c r="I33" s="671">
        <f t="shared" si="5"/>
        <v>0</v>
      </c>
    </row>
    <row r="34" spans="1:9" ht="21.95" customHeight="1" x14ac:dyDescent="0.25"/>
    <row r="35" spans="1:9" ht="21.95" customHeight="1" x14ac:dyDescent="0.25">
      <c r="A35" s="156"/>
      <c r="B35" s="156"/>
      <c r="C35" s="156"/>
      <c r="D35" s="5"/>
      <c r="E35" s="5"/>
      <c r="F35" s="5"/>
    </row>
  </sheetData>
  <mergeCells count="7">
    <mergeCell ref="A1:I1"/>
    <mergeCell ref="A2:I2"/>
    <mergeCell ref="A4:A5"/>
    <mergeCell ref="B4:C4"/>
    <mergeCell ref="D4:E4"/>
    <mergeCell ref="F4:I4"/>
    <mergeCell ref="A3:I3"/>
  </mergeCells>
  <phoneticPr fontId="23" type="noConversion"/>
  <printOptions horizontalCentered="1"/>
  <pageMargins left="0.51181102362204722" right="0.51181102362204722" top="0.9055118110236221" bottom="0.55118110236220474" header="0.31496062992125984" footer="0.31496062992125984"/>
  <pageSetup fitToHeight="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pane ySplit="5" topLeftCell="A12" activePane="bottomLeft" state="frozen"/>
      <selection activeCell="F34" sqref="F34"/>
      <selection pane="bottomLeft" activeCell="G23" sqref="G23"/>
    </sheetView>
  </sheetViews>
  <sheetFormatPr baseColWidth="10" defaultRowHeight="15" customHeight="1" x14ac:dyDescent="0.25"/>
  <cols>
    <col min="1" max="1" width="35.85546875" customWidth="1"/>
    <col min="2" max="2" width="12.140625" hidden="1" customWidth="1"/>
    <col min="3" max="3" width="10.28515625" hidden="1" customWidth="1"/>
    <col min="4" max="4" width="12.140625" hidden="1" customWidth="1"/>
    <col min="5" max="5" width="10.28515625" hidden="1" customWidth="1"/>
    <col min="6" max="6" width="13.140625" bestFit="1" customWidth="1"/>
    <col min="7" max="8" width="11.5703125" bestFit="1" customWidth="1"/>
    <col min="9" max="9" width="9.85546875" bestFit="1" customWidth="1"/>
    <col min="10" max="10" width="10.5703125" bestFit="1" customWidth="1"/>
  </cols>
  <sheetData>
    <row r="1" spans="1:13" ht="15" customHeight="1" x14ac:dyDescent="0.25">
      <c r="A1" s="796" t="s">
        <v>299</v>
      </c>
      <c r="B1" s="797"/>
      <c r="C1" s="797"/>
      <c r="D1" s="797"/>
      <c r="E1" s="797"/>
      <c r="F1" s="797"/>
      <c r="G1" s="797"/>
      <c r="H1" s="797"/>
      <c r="I1" s="798"/>
    </row>
    <row r="2" spans="1:13" ht="21.95" customHeight="1" x14ac:dyDescent="0.25">
      <c r="A2" s="839" t="s">
        <v>244</v>
      </c>
      <c r="B2" s="840"/>
      <c r="C2" s="840"/>
      <c r="D2" s="840"/>
      <c r="E2" s="840"/>
      <c r="F2" s="840"/>
      <c r="G2" s="840"/>
      <c r="H2" s="840"/>
      <c r="I2" s="841"/>
    </row>
    <row r="3" spans="1:13" ht="21.95" customHeight="1" thickBot="1" x14ac:dyDescent="0.3">
      <c r="A3" s="851" t="s">
        <v>0</v>
      </c>
      <c r="B3" s="852"/>
      <c r="C3" s="852"/>
      <c r="D3" s="852"/>
      <c r="E3" s="852"/>
      <c r="F3" s="852"/>
      <c r="G3" s="852"/>
      <c r="H3" s="852"/>
      <c r="I3" s="853"/>
    </row>
    <row r="4" spans="1:13" ht="21.95" customHeight="1" thickBot="1" x14ac:dyDescent="0.3">
      <c r="A4" s="848" t="s">
        <v>1</v>
      </c>
      <c r="B4" s="849">
        <v>2010</v>
      </c>
      <c r="C4" s="850"/>
      <c r="D4" s="849">
        <v>2011</v>
      </c>
      <c r="E4" s="850"/>
      <c r="F4" s="824" t="s">
        <v>343</v>
      </c>
      <c r="G4" s="825"/>
      <c r="H4" s="825"/>
      <c r="I4" s="826"/>
    </row>
    <row r="5" spans="1:13" ht="21.95" customHeight="1" thickBot="1" x14ac:dyDescent="0.3">
      <c r="A5" s="835"/>
      <c r="B5" s="658" t="s">
        <v>3</v>
      </c>
      <c r="C5" s="659" t="s">
        <v>4</v>
      </c>
      <c r="D5" s="658" t="s">
        <v>3</v>
      </c>
      <c r="E5" s="659" t="s">
        <v>4</v>
      </c>
      <c r="F5" s="660" t="s">
        <v>5</v>
      </c>
      <c r="G5" s="660" t="s">
        <v>6</v>
      </c>
      <c r="H5" s="660" t="s">
        <v>7</v>
      </c>
      <c r="I5" s="660" t="s">
        <v>8</v>
      </c>
    </row>
    <row r="6" spans="1:13" ht="21" customHeight="1" x14ac:dyDescent="0.25">
      <c r="A6" s="616" t="s">
        <v>245</v>
      </c>
      <c r="B6" s="617">
        <f t="shared" ref="B6:I6" si="0">SUM(B7:B13)</f>
        <v>1638751</v>
      </c>
      <c r="C6" s="617">
        <f t="shared" si="0"/>
        <v>1843505</v>
      </c>
      <c r="D6" s="617">
        <f t="shared" si="0"/>
        <v>1793092</v>
      </c>
      <c r="E6" s="617">
        <f t="shared" si="0"/>
        <v>2096637</v>
      </c>
      <c r="F6" s="617">
        <f t="shared" si="0"/>
        <v>1938023.0000000002</v>
      </c>
      <c r="G6" s="617">
        <f t="shared" si="0"/>
        <v>1938023.0000000002</v>
      </c>
      <c r="H6" s="617">
        <f t="shared" si="0"/>
        <v>0</v>
      </c>
      <c r="I6" s="618">
        <f t="shared" si="0"/>
        <v>0</v>
      </c>
      <c r="M6" s="5"/>
    </row>
    <row r="7" spans="1:13" ht="21" customHeight="1" x14ac:dyDescent="0.25">
      <c r="A7" s="384" t="s">
        <v>39</v>
      </c>
      <c r="B7" s="385">
        <v>1090339</v>
      </c>
      <c r="C7" s="385">
        <v>1224815</v>
      </c>
      <c r="D7" s="386">
        <v>1656140</v>
      </c>
      <c r="E7" s="387">
        <v>1954191</v>
      </c>
      <c r="F7" s="386">
        <f t="shared" ref="F7:F17" si="1">SUM(G7:I7)</f>
        <v>1293489.4000000001</v>
      </c>
      <c r="G7" s="386">
        <f>'Ingresos Totales 2'!F12*0.2</f>
        <v>1293489.4000000001</v>
      </c>
      <c r="H7" s="386">
        <f>SUM(H8:H10)</f>
        <v>0</v>
      </c>
      <c r="I7" s="388">
        <f>SUM(I8:I10)</f>
        <v>0</v>
      </c>
    </row>
    <row r="8" spans="1:13" ht="21" customHeight="1" x14ac:dyDescent="0.25">
      <c r="A8" s="389" t="s">
        <v>40</v>
      </c>
      <c r="B8" s="165">
        <v>356295</v>
      </c>
      <c r="C8" s="165">
        <v>390250</v>
      </c>
      <c r="D8" s="318"/>
      <c r="E8" s="390"/>
      <c r="F8" s="318">
        <f t="shared" si="1"/>
        <v>474395</v>
      </c>
      <c r="G8" s="318">
        <f>'Ingresos Totales 2'!F13</f>
        <v>474395</v>
      </c>
      <c r="H8" s="318">
        <v>0</v>
      </c>
      <c r="I8" s="319">
        <v>0</v>
      </c>
      <c r="J8" s="5"/>
    </row>
    <row r="9" spans="1:13" ht="21" customHeight="1" x14ac:dyDescent="0.25">
      <c r="A9" s="389" t="s">
        <v>246</v>
      </c>
      <c r="B9" s="165">
        <v>22087</v>
      </c>
      <c r="C9" s="165">
        <v>25573</v>
      </c>
      <c r="D9" s="318"/>
      <c r="E9" s="390"/>
      <c r="F9" s="318">
        <f t="shared" si="1"/>
        <v>27527.600000000002</v>
      </c>
      <c r="G9" s="318">
        <f>'Ingresos Totales 2'!F14*0.2</f>
        <v>27527.600000000002</v>
      </c>
      <c r="H9" s="318">
        <v>0</v>
      </c>
      <c r="I9" s="319">
        <v>0</v>
      </c>
      <c r="J9" s="5"/>
    </row>
    <row r="10" spans="1:13" ht="21" customHeight="1" x14ac:dyDescent="0.25">
      <c r="A10" s="391" t="s">
        <v>247</v>
      </c>
      <c r="B10" s="188">
        <v>61835</v>
      </c>
      <c r="C10" s="188">
        <v>50684</v>
      </c>
      <c r="D10" s="284"/>
      <c r="E10" s="390"/>
      <c r="F10" s="284">
        <f t="shared" si="1"/>
        <v>1549.6000000000001</v>
      </c>
      <c r="G10" s="284">
        <f>'Ingresos Totales 2'!F16*0.2</f>
        <v>1549.6000000000001</v>
      </c>
      <c r="H10" s="284">
        <v>0</v>
      </c>
      <c r="I10" s="392">
        <v>0</v>
      </c>
      <c r="J10" s="5"/>
    </row>
    <row r="11" spans="1:13" ht="21" customHeight="1" x14ac:dyDescent="0.25">
      <c r="A11" s="389" t="s">
        <v>248</v>
      </c>
      <c r="B11" s="165">
        <v>10862</v>
      </c>
      <c r="C11" s="165">
        <v>19115</v>
      </c>
      <c r="D11" s="318"/>
      <c r="E11" s="390"/>
      <c r="F11" s="318">
        <f t="shared" si="1"/>
        <v>20611.2</v>
      </c>
      <c r="G11" s="318">
        <f>'Ingresos Totales 2'!F17*0.2</f>
        <v>20611.2</v>
      </c>
      <c r="H11" s="318">
        <v>0</v>
      </c>
      <c r="I11" s="319">
        <v>0</v>
      </c>
      <c r="J11" s="5"/>
    </row>
    <row r="12" spans="1:13" ht="21" customHeight="1" x14ac:dyDescent="0.25">
      <c r="A12" s="391" t="s">
        <v>249</v>
      </c>
      <c r="B12" s="188">
        <v>51212</v>
      </c>
      <c r="C12" s="188">
        <v>68120</v>
      </c>
      <c r="D12" s="284">
        <v>70650</v>
      </c>
      <c r="E12" s="390">
        <v>75555</v>
      </c>
      <c r="F12" s="284">
        <f t="shared" si="1"/>
        <v>67544.2</v>
      </c>
      <c r="G12" s="284">
        <f>'Ingresos Totales 2'!F22*0.2</f>
        <v>67544.2</v>
      </c>
      <c r="H12" s="284">
        <v>0</v>
      </c>
      <c r="I12" s="392">
        <v>0</v>
      </c>
      <c r="J12" s="5"/>
    </row>
    <row r="13" spans="1:13" ht="21" customHeight="1" x14ac:dyDescent="0.25">
      <c r="A13" s="389" t="s">
        <v>250</v>
      </c>
      <c r="B13" s="165">
        <v>46121</v>
      </c>
      <c r="C13" s="165">
        <v>64948</v>
      </c>
      <c r="D13" s="318">
        <v>66302</v>
      </c>
      <c r="E13" s="390">
        <v>66891</v>
      </c>
      <c r="F13" s="318">
        <f t="shared" si="1"/>
        <v>52906</v>
      </c>
      <c r="G13" s="318">
        <f>'Ingresos Totales 2'!F21*0.2</f>
        <v>52906</v>
      </c>
      <c r="H13" s="318">
        <v>0</v>
      </c>
      <c r="I13" s="319">
        <v>0</v>
      </c>
      <c r="J13" s="5"/>
    </row>
    <row r="14" spans="1:13" ht="21" customHeight="1" x14ac:dyDescent="0.25">
      <c r="A14" s="389"/>
      <c r="B14" s="165"/>
      <c r="C14" s="165"/>
      <c r="D14" s="284"/>
      <c r="E14" s="284"/>
      <c r="F14" s="284">
        <f t="shared" si="1"/>
        <v>0</v>
      </c>
      <c r="G14" s="284"/>
      <c r="H14" s="284"/>
      <c r="I14" s="392"/>
      <c r="J14" s="5"/>
    </row>
    <row r="15" spans="1:13" ht="21" customHeight="1" x14ac:dyDescent="0.25">
      <c r="A15" s="608" t="s">
        <v>251</v>
      </c>
      <c r="B15" s="615">
        <v>76000</v>
      </c>
      <c r="C15" s="615">
        <v>159378</v>
      </c>
      <c r="D15" s="610">
        <v>85000</v>
      </c>
      <c r="E15" s="610">
        <v>149582</v>
      </c>
      <c r="F15" s="610">
        <f t="shared" si="1"/>
        <v>120000</v>
      </c>
      <c r="G15" s="610">
        <v>0</v>
      </c>
      <c r="H15" s="610">
        <v>0</v>
      </c>
      <c r="I15" s="611">
        <f>'Ingresos Totales 2'!F23</f>
        <v>120000</v>
      </c>
      <c r="J15" s="5"/>
    </row>
    <row r="16" spans="1:13" ht="21" customHeight="1" x14ac:dyDescent="0.25">
      <c r="A16" s="542"/>
      <c r="B16" s="228"/>
      <c r="C16" s="228"/>
      <c r="D16" s="397"/>
      <c r="E16" s="397"/>
      <c r="F16" s="397"/>
      <c r="G16" s="397"/>
      <c r="H16" s="397"/>
      <c r="I16" s="543"/>
      <c r="J16" s="5"/>
    </row>
    <row r="17" spans="1:13" ht="21" customHeight="1" x14ac:dyDescent="0.25">
      <c r="A17" s="608" t="s">
        <v>437</v>
      </c>
      <c r="B17" s="615"/>
      <c r="C17" s="615"/>
      <c r="D17" s="610"/>
      <c r="E17" s="610"/>
      <c r="F17" s="610">
        <f t="shared" si="1"/>
        <v>365907</v>
      </c>
      <c r="G17" s="610">
        <f>('Ingresos Totales 2'!G12+'Ingresos Totales 2'!G14+'Ingresos Totales 2'!G16+'Ingresos Totales 2'!G17+'Ingresos Totales 2'!G21+'Ingresos Totales 2'!G22)*0.05</f>
        <v>365907</v>
      </c>
      <c r="H17" s="610">
        <v>0</v>
      </c>
      <c r="I17" s="611">
        <v>0</v>
      </c>
      <c r="J17" s="5"/>
    </row>
    <row r="18" spans="1:13" s="545" customFormat="1" ht="21" customHeight="1" x14ac:dyDescent="0.25">
      <c r="A18" s="542"/>
      <c r="B18" s="228"/>
      <c r="C18" s="228"/>
      <c r="D18" s="397"/>
      <c r="E18" s="397"/>
      <c r="F18" s="397"/>
      <c r="G18" s="397"/>
      <c r="H18" s="397"/>
      <c r="I18" s="543"/>
      <c r="J18" s="544"/>
    </row>
    <row r="19" spans="1:13" ht="42" customHeight="1" x14ac:dyDescent="0.25">
      <c r="A19" s="608" t="s">
        <v>252</v>
      </c>
      <c r="B19" s="619">
        <f t="shared" ref="B19:I19" si="2">SUM(B20:B22)</f>
        <v>1090500</v>
      </c>
      <c r="C19" s="619">
        <f t="shared" si="2"/>
        <v>1089663</v>
      </c>
      <c r="D19" s="619">
        <f t="shared" si="2"/>
        <v>1212898</v>
      </c>
      <c r="E19" s="619">
        <f t="shared" si="2"/>
        <v>1228764</v>
      </c>
      <c r="F19" s="619">
        <f t="shared" si="2"/>
        <v>1264474</v>
      </c>
      <c r="G19" s="619">
        <f t="shared" si="2"/>
        <v>0</v>
      </c>
      <c r="H19" s="619">
        <f t="shared" si="2"/>
        <v>1264474</v>
      </c>
      <c r="I19" s="611">
        <f t="shared" si="2"/>
        <v>0</v>
      </c>
    </row>
    <row r="20" spans="1:13" ht="21" customHeight="1" x14ac:dyDescent="0.25">
      <c r="A20" s="389" t="s">
        <v>253</v>
      </c>
      <c r="B20" s="165">
        <v>430300</v>
      </c>
      <c r="C20" s="165">
        <v>429671</v>
      </c>
      <c r="D20" s="318">
        <v>476281</v>
      </c>
      <c r="E20" s="318">
        <v>478696</v>
      </c>
      <c r="F20" s="318">
        <f>SUM(G20:I20)</f>
        <v>412990</v>
      </c>
      <c r="G20" s="318">
        <v>0</v>
      </c>
      <c r="H20" s="318">
        <f>'Ingresos Totales 2'!F29</f>
        <v>412990</v>
      </c>
      <c r="I20" s="319">
        <v>0</v>
      </c>
    </row>
    <row r="21" spans="1:13" ht="21" customHeight="1" x14ac:dyDescent="0.25">
      <c r="A21" s="389" t="s">
        <v>254</v>
      </c>
      <c r="B21" s="165">
        <v>660200</v>
      </c>
      <c r="C21" s="165">
        <v>659992</v>
      </c>
      <c r="D21" s="318">
        <v>736617</v>
      </c>
      <c r="E21" s="318">
        <v>750068</v>
      </c>
      <c r="F21" s="318">
        <f>SUM(G21:I21)</f>
        <v>851484</v>
      </c>
      <c r="G21" s="318">
        <v>0</v>
      </c>
      <c r="H21" s="318">
        <f>'Ingresos Totales 2'!F30</f>
        <v>851484</v>
      </c>
      <c r="I21" s="319">
        <v>0</v>
      </c>
    </row>
    <row r="22" spans="1:13" ht="21" customHeight="1" x14ac:dyDescent="0.25">
      <c r="A22" s="391"/>
      <c r="B22" s="188"/>
      <c r="C22" s="188"/>
      <c r="D22" s="284"/>
      <c r="E22" s="284"/>
      <c r="F22" s="284"/>
      <c r="G22" s="284"/>
      <c r="H22" s="284"/>
      <c r="I22" s="392"/>
    </row>
    <row r="23" spans="1:13" ht="21" customHeight="1" x14ac:dyDescent="0.25">
      <c r="A23" s="608" t="s">
        <v>30</v>
      </c>
      <c r="B23" s="615">
        <v>91138</v>
      </c>
      <c r="C23" s="615">
        <v>90700</v>
      </c>
      <c r="D23" s="610">
        <v>104216</v>
      </c>
      <c r="E23" s="610">
        <v>104216</v>
      </c>
      <c r="F23" s="610">
        <f>SUM(G23:I23)</f>
        <v>133002.51</v>
      </c>
      <c r="G23" s="610">
        <f>('Ingresos Totales 2'!F4+'Ingresos Totales 2'!F11+'Ingresos Totales 2'!F15+'Ingresos Totales 2'!F21+'Ingresos Totales 2'!F22)*1.5/100</f>
        <v>133002.51</v>
      </c>
      <c r="H23" s="610">
        <v>0</v>
      </c>
      <c r="I23" s="611">
        <v>0</v>
      </c>
      <c r="K23" s="5"/>
      <c r="M23" s="5"/>
    </row>
    <row r="24" spans="1:13" ht="16.5" thickBot="1" x14ac:dyDescent="0.3">
      <c r="A24" s="393"/>
      <c r="B24" s="327"/>
      <c r="C24" s="327"/>
      <c r="D24" s="394"/>
      <c r="E24" s="394"/>
      <c r="F24" s="397">
        <f>SUM(G24:I24)</f>
        <v>0</v>
      </c>
      <c r="G24" s="394"/>
      <c r="H24" s="394"/>
      <c r="I24" s="395"/>
    </row>
    <row r="25" spans="1:13" ht="21" customHeight="1" thickBot="1" x14ac:dyDescent="0.3">
      <c r="A25" s="669" t="s">
        <v>255</v>
      </c>
      <c r="B25" s="670" t="e">
        <f>B6+B15+B19+B23+#REF!</f>
        <v>#REF!</v>
      </c>
      <c r="C25" s="670" t="e">
        <f>C6+C15+C19+C23+#REF!</f>
        <v>#REF!</v>
      </c>
      <c r="D25" s="670" t="e">
        <f>D6+D15+D19+D23+#REF!</f>
        <v>#REF!</v>
      </c>
      <c r="E25" s="670" t="e">
        <f>E6+E15+E19+E23+#REF!</f>
        <v>#REF!</v>
      </c>
      <c r="F25" s="670">
        <f>F6+F15+F17+F19+F23</f>
        <v>3821406.51</v>
      </c>
      <c r="G25" s="670">
        <f>G6+G15+G17+G19+G23</f>
        <v>2436932.5099999998</v>
      </c>
      <c r="H25" s="670">
        <f t="shared" ref="H25:I25" si="3">H6+H15+H17+H19+H23</f>
        <v>1264474</v>
      </c>
      <c r="I25" s="671">
        <f t="shared" si="3"/>
        <v>120000</v>
      </c>
    </row>
    <row r="26" spans="1:13" ht="21.95" customHeight="1" x14ac:dyDescent="0.25"/>
    <row r="27" spans="1:13" ht="21.95" customHeight="1" x14ac:dyDescent="0.25">
      <c r="A27" s="156"/>
      <c r="B27" s="156"/>
      <c r="C27" s="156"/>
      <c r="D27" s="286"/>
      <c r="E27" s="286"/>
      <c r="F27" s="286"/>
    </row>
    <row r="28" spans="1:13" ht="15" customHeight="1" x14ac:dyDescent="0.25">
      <c r="E28" s="5"/>
      <c r="F28" s="5"/>
    </row>
    <row r="30" spans="1:13" ht="15" customHeight="1" x14ac:dyDescent="0.25">
      <c r="D30" s="5"/>
      <c r="E30" s="5"/>
      <c r="F30" s="5"/>
    </row>
  </sheetData>
  <mergeCells count="7">
    <mergeCell ref="A1:I1"/>
    <mergeCell ref="A2:I2"/>
    <mergeCell ref="A4:A5"/>
    <mergeCell ref="B4:C4"/>
    <mergeCell ref="D4:E4"/>
    <mergeCell ref="F4:I4"/>
    <mergeCell ref="A3:I3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opLeftCell="A4" workbookViewId="0">
      <selection activeCell="F34" sqref="F34"/>
    </sheetView>
  </sheetViews>
  <sheetFormatPr baseColWidth="10" defaultColWidth="11.5703125" defaultRowHeight="18.75" x14ac:dyDescent="0.3"/>
  <cols>
    <col min="1" max="1" width="8.140625" style="505" bestFit="1" customWidth="1"/>
    <col min="2" max="2" width="32.5703125" style="505" bestFit="1" customWidth="1"/>
    <col min="3" max="3" width="14.85546875" style="505" bestFit="1" customWidth="1"/>
    <col min="4" max="4" width="19.7109375" style="505" bestFit="1" customWidth="1"/>
    <col min="5" max="16384" width="11.5703125" style="505"/>
  </cols>
  <sheetData>
    <row r="1" spans="1:4" x14ac:dyDescent="0.3">
      <c r="A1" s="869" t="s">
        <v>319</v>
      </c>
      <c r="B1" s="870"/>
      <c r="C1" s="870"/>
      <c r="D1" s="871"/>
    </row>
    <row r="2" spans="1:4" ht="19.5" thickBot="1" x14ac:dyDescent="0.35">
      <c r="A2" s="860" t="s">
        <v>318</v>
      </c>
      <c r="B2" s="861"/>
      <c r="C2" s="861"/>
      <c r="D2" s="862"/>
    </row>
    <row r="3" spans="1:4" s="514" customFormat="1" ht="38.25" customHeight="1" thickBot="1" x14ac:dyDescent="0.3">
      <c r="A3" s="693" t="s">
        <v>300</v>
      </c>
      <c r="B3" s="694" t="s">
        <v>301</v>
      </c>
      <c r="C3" s="694" t="s">
        <v>302</v>
      </c>
      <c r="D3" s="695" t="s">
        <v>303</v>
      </c>
    </row>
    <row r="4" spans="1:4" x14ac:dyDescent="0.3">
      <c r="A4" s="506">
        <v>101</v>
      </c>
      <c r="B4" s="507" t="s">
        <v>304</v>
      </c>
      <c r="C4" s="507" t="s">
        <v>305</v>
      </c>
      <c r="D4" s="508">
        <v>100000</v>
      </c>
    </row>
    <row r="5" spans="1:4" x14ac:dyDescent="0.3">
      <c r="A5" s="509">
        <v>102</v>
      </c>
      <c r="B5" s="510" t="s">
        <v>306</v>
      </c>
      <c r="C5" s="510" t="s">
        <v>305</v>
      </c>
      <c r="D5" s="511">
        <v>90000</v>
      </c>
    </row>
    <row r="6" spans="1:4" x14ac:dyDescent="0.3">
      <c r="A6" s="863">
        <v>103</v>
      </c>
      <c r="B6" s="866" t="s">
        <v>307</v>
      </c>
      <c r="C6" s="873" t="s">
        <v>305</v>
      </c>
      <c r="D6" s="874">
        <v>70000</v>
      </c>
    </row>
    <row r="7" spans="1:4" x14ac:dyDescent="0.3">
      <c r="A7" s="865"/>
      <c r="B7" s="872"/>
      <c r="C7" s="872"/>
      <c r="D7" s="875"/>
    </row>
    <row r="8" spans="1:4" x14ac:dyDescent="0.3">
      <c r="A8" s="509">
        <v>104</v>
      </c>
      <c r="B8" s="510" t="s">
        <v>308</v>
      </c>
      <c r="C8" s="510" t="s">
        <v>305</v>
      </c>
      <c r="D8" s="511">
        <v>65000</v>
      </c>
    </row>
    <row r="9" spans="1:4" x14ac:dyDescent="0.3">
      <c r="A9" s="854">
        <v>105</v>
      </c>
      <c r="B9" s="866" t="s">
        <v>309</v>
      </c>
      <c r="C9" s="510" t="s">
        <v>310</v>
      </c>
      <c r="D9" s="511">
        <v>60000</v>
      </c>
    </row>
    <row r="10" spans="1:4" ht="35.1" customHeight="1" x14ac:dyDescent="0.3">
      <c r="A10" s="854"/>
      <c r="B10" s="867"/>
      <c r="C10" s="510" t="s">
        <v>311</v>
      </c>
      <c r="D10" s="511">
        <v>55000</v>
      </c>
    </row>
    <row r="11" spans="1:4" ht="29.25" customHeight="1" x14ac:dyDescent="0.3">
      <c r="A11" s="854"/>
      <c r="B11" s="868"/>
      <c r="C11" s="510" t="s">
        <v>312</v>
      </c>
      <c r="D11" s="511">
        <v>50000</v>
      </c>
    </row>
    <row r="12" spans="1:4" x14ac:dyDescent="0.3">
      <c r="A12" s="863">
        <v>106</v>
      </c>
      <c r="B12" s="856" t="s">
        <v>313</v>
      </c>
      <c r="C12" s="510" t="s">
        <v>310</v>
      </c>
      <c r="D12" s="511">
        <v>45000</v>
      </c>
    </row>
    <row r="13" spans="1:4" x14ac:dyDescent="0.3">
      <c r="A13" s="864"/>
      <c r="B13" s="856"/>
      <c r="C13" s="510" t="s">
        <v>311</v>
      </c>
      <c r="D13" s="511">
        <v>35000</v>
      </c>
    </row>
    <row r="14" spans="1:4" x14ac:dyDescent="0.3">
      <c r="A14" s="865"/>
      <c r="B14" s="856"/>
      <c r="C14" s="510" t="s">
        <v>312</v>
      </c>
      <c r="D14" s="511">
        <v>30000</v>
      </c>
    </row>
    <row r="15" spans="1:4" x14ac:dyDescent="0.3">
      <c r="A15" s="854">
        <v>107</v>
      </c>
      <c r="B15" s="856" t="s">
        <v>314</v>
      </c>
      <c r="C15" s="510" t="s">
        <v>310</v>
      </c>
      <c r="D15" s="511">
        <v>29000</v>
      </c>
    </row>
    <row r="16" spans="1:4" ht="30" customHeight="1" x14ac:dyDescent="0.3">
      <c r="A16" s="854"/>
      <c r="B16" s="856"/>
      <c r="C16" s="510" t="s">
        <v>311</v>
      </c>
      <c r="D16" s="511">
        <v>26000</v>
      </c>
    </row>
    <row r="17" spans="1:4" x14ac:dyDescent="0.3">
      <c r="A17" s="854"/>
      <c r="B17" s="856"/>
      <c r="C17" s="510" t="s">
        <v>312</v>
      </c>
      <c r="D17" s="511">
        <v>23000</v>
      </c>
    </row>
    <row r="18" spans="1:4" x14ac:dyDescent="0.3">
      <c r="A18" s="854">
        <v>108</v>
      </c>
      <c r="B18" s="856" t="s">
        <v>315</v>
      </c>
      <c r="C18" s="510" t="s">
        <v>310</v>
      </c>
      <c r="D18" s="511">
        <v>22000</v>
      </c>
    </row>
    <row r="19" spans="1:4" x14ac:dyDescent="0.3">
      <c r="A19" s="854"/>
      <c r="B19" s="856"/>
      <c r="C19" s="510" t="s">
        <v>311</v>
      </c>
      <c r="D19" s="511">
        <v>20000</v>
      </c>
    </row>
    <row r="20" spans="1:4" x14ac:dyDescent="0.3">
      <c r="A20" s="854"/>
      <c r="B20" s="856"/>
      <c r="C20" s="510" t="s">
        <v>312</v>
      </c>
      <c r="D20" s="511">
        <v>18000</v>
      </c>
    </row>
    <row r="21" spans="1:4" x14ac:dyDescent="0.3">
      <c r="A21" s="854">
        <v>109</v>
      </c>
      <c r="B21" s="856" t="s">
        <v>316</v>
      </c>
      <c r="C21" s="510" t="s">
        <v>310</v>
      </c>
      <c r="D21" s="511">
        <v>17000</v>
      </c>
    </row>
    <row r="22" spans="1:4" x14ac:dyDescent="0.3">
      <c r="A22" s="855"/>
      <c r="B22" s="857"/>
      <c r="C22" s="510" t="s">
        <v>311</v>
      </c>
      <c r="D22" s="511">
        <v>15000</v>
      </c>
    </row>
    <row r="23" spans="1:4" x14ac:dyDescent="0.3">
      <c r="A23" s="855"/>
      <c r="B23" s="857"/>
      <c r="C23" s="510" t="s">
        <v>312</v>
      </c>
      <c r="D23" s="511">
        <v>13000</v>
      </c>
    </row>
    <row r="24" spans="1:4" x14ac:dyDescent="0.3">
      <c r="A24" s="854">
        <v>110</v>
      </c>
      <c r="B24" s="856" t="s">
        <v>317</v>
      </c>
      <c r="C24" s="510" t="s">
        <v>310</v>
      </c>
      <c r="D24" s="511">
        <v>12000</v>
      </c>
    </row>
    <row r="25" spans="1:4" x14ac:dyDescent="0.3">
      <c r="A25" s="854"/>
      <c r="B25" s="856"/>
      <c r="C25" s="510" t="s">
        <v>311</v>
      </c>
      <c r="D25" s="511">
        <v>10000</v>
      </c>
    </row>
    <row r="26" spans="1:4" ht="19.5" thickBot="1" x14ac:dyDescent="0.35">
      <c r="A26" s="858"/>
      <c r="B26" s="859"/>
      <c r="C26" s="512" t="s">
        <v>312</v>
      </c>
      <c r="D26" s="513">
        <v>8000</v>
      </c>
    </row>
  </sheetData>
  <mergeCells count="18">
    <mergeCell ref="A1:D1"/>
    <mergeCell ref="A6:A7"/>
    <mergeCell ref="B6:B7"/>
    <mergeCell ref="C6:C7"/>
    <mergeCell ref="D6:D7"/>
    <mergeCell ref="A21:A23"/>
    <mergeCell ref="B21:B23"/>
    <mergeCell ref="A24:A26"/>
    <mergeCell ref="B24:B26"/>
    <mergeCell ref="A2:D2"/>
    <mergeCell ref="A12:A14"/>
    <mergeCell ref="B12:B14"/>
    <mergeCell ref="A15:A17"/>
    <mergeCell ref="B15:B17"/>
    <mergeCell ref="A18:A20"/>
    <mergeCell ref="B18:B20"/>
    <mergeCell ref="A9:A11"/>
    <mergeCell ref="B9:B11"/>
  </mergeCells>
  <printOptions horizontalCentered="1"/>
  <pageMargins left="0.51181102362204722" right="0.51181102362204722" top="1.1023622047244095" bottom="0.15748031496062992" header="0.31496062992125984" footer="0.31496062992125984"/>
  <pageSetup fitToHeight="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workbookViewId="0">
      <selection activeCell="F9" sqref="F9"/>
    </sheetView>
  </sheetViews>
  <sheetFormatPr baseColWidth="10" defaultColWidth="11.42578125" defaultRowHeight="15" x14ac:dyDescent="0.25"/>
  <cols>
    <col min="1" max="1" width="72.42578125" bestFit="1" customWidth="1"/>
    <col min="2" max="2" width="23.42578125" customWidth="1"/>
  </cols>
  <sheetData>
    <row r="1" spans="1:5" ht="15" customHeight="1" x14ac:dyDescent="0.25">
      <c r="A1" s="796" t="s">
        <v>357</v>
      </c>
      <c r="B1" s="798"/>
    </row>
    <row r="2" spans="1:5" ht="15.75" customHeight="1" x14ac:dyDescent="0.25">
      <c r="A2" s="839" t="s">
        <v>343</v>
      </c>
      <c r="B2" s="841"/>
    </row>
    <row r="3" spans="1:5" ht="15.75" customHeight="1" x14ac:dyDescent="0.25">
      <c r="A3" s="842" t="s">
        <v>358</v>
      </c>
      <c r="B3" s="844"/>
    </row>
    <row r="4" spans="1:5" ht="15.75" customHeight="1" thickBot="1" x14ac:dyDescent="0.3">
      <c r="A4" s="845" t="s">
        <v>0</v>
      </c>
      <c r="B4" s="847"/>
    </row>
    <row r="5" spans="1:5" ht="15" customHeight="1" x14ac:dyDescent="0.25">
      <c r="A5" s="848" t="s">
        <v>1</v>
      </c>
      <c r="B5" s="848" t="s">
        <v>323</v>
      </c>
    </row>
    <row r="6" spans="1:5" ht="15.75" customHeight="1" thickBot="1" x14ac:dyDescent="0.3">
      <c r="A6" s="835"/>
      <c r="B6" s="835"/>
    </row>
    <row r="7" spans="1:5" ht="16.5" thickBot="1" x14ac:dyDescent="0.3">
      <c r="A7" s="711" t="s">
        <v>5</v>
      </c>
      <c r="B7" s="712">
        <f>B8+B16+B26+B36+B53+B63+B67+B75+B79+B86</f>
        <v>19453753.690510001</v>
      </c>
    </row>
    <row r="8" spans="1:5" ht="21.95" customHeight="1" x14ac:dyDescent="0.25">
      <c r="A8" s="699" t="s">
        <v>138</v>
      </c>
      <c r="B8" s="504">
        <f>SUM(B9:B15)</f>
        <v>1231483.6905100001</v>
      </c>
      <c r="E8" s="5"/>
    </row>
    <row r="9" spans="1:5" ht="21.95" customHeight="1" x14ac:dyDescent="0.25">
      <c r="A9" s="250" t="s">
        <v>359</v>
      </c>
      <c r="B9" s="238">
        <v>513990.69364000001</v>
      </c>
    </row>
    <row r="10" spans="1:5" ht="21.95" customHeight="1" x14ac:dyDescent="0.25">
      <c r="A10" s="250" t="s">
        <v>360</v>
      </c>
      <c r="B10" s="238">
        <f>12791.25869+167-338+4</f>
        <v>12624.258690000001</v>
      </c>
    </row>
    <row r="11" spans="1:5" ht="21.95" customHeight="1" x14ac:dyDescent="0.25">
      <c r="A11" s="250" t="s">
        <v>361</v>
      </c>
      <c r="B11" s="238">
        <f>268032.26667-3051</f>
        <v>264981.26666999998</v>
      </c>
    </row>
    <row r="12" spans="1:5" ht="21.95" customHeight="1" x14ac:dyDescent="0.25">
      <c r="A12" s="250" t="s">
        <v>362</v>
      </c>
      <c r="B12" s="238">
        <v>196830.75956999999</v>
      </c>
    </row>
    <row r="13" spans="1:5" ht="21.95" customHeight="1" x14ac:dyDescent="0.25">
      <c r="A13" s="250" t="s">
        <v>363</v>
      </c>
      <c r="B13" s="238">
        <v>169970</v>
      </c>
    </row>
    <row r="14" spans="1:5" ht="21.95" customHeight="1" x14ac:dyDescent="0.25">
      <c r="A14" s="250" t="s">
        <v>364</v>
      </c>
      <c r="B14" s="238">
        <f>131086.71194-58000</f>
        <v>73086.711940000008</v>
      </c>
    </row>
    <row r="15" spans="1:5" ht="21.95" customHeight="1" x14ac:dyDescent="0.25">
      <c r="A15" s="250" t="s">
        <v>365</v>
      </c>
      <c r="B15" s="238"/>
    </row>
    <row r="16" spans="1:5" ht="21.95" customHeight="1" x14ac:dyDescent="0.25">
      <c r="A16" s="699" t="s">
        <v>139</v>
      </c>
      <c r="B16" s="504">
        <f>SUM(B17:B25)</f>
        <v>202816</v>
      </c>
    </row>
    <row r="17" spans="1:2" ht="15.75" x14ac:dyDescent="0.25">
      <c r="A17" s="250" t="s">
        <v>366</v>
      </c>
      <c r="B17" s="238">
        <v>21920.78989</v>
      </c>
    </row>
    <row r="18" spans="1:2" ht="15.75" x14ac:dyDescent="0.25">
      <c r="A18" s="250" t="s">
        <v>367</v>
      </c>
      <c r="B18" s="238">
        <v>94504.585229999997</v>
      </c>
    </row>
    <row r="19" spans="1:2" ht="15.75" x14ac:dyDescent="0.25">
      <c r="A19" s="250" t="s">
        <v>368</v>
      </c>
      <c r="B19" s="238">
        <v>11.394260000000001</v>
      </c>
    </row>
    <row r="20" spans="1:2" ht="15.75" x14ac:dyDescent="0.25">
      <c r="A20" s="250" t="s">
        <v>369</v>
      </c>
      <c r="B20" s="238">
        <v>2831.0891999999999</v>
      </c>
    </row>
    <row r="21" spans="1:2" ht="15.75" x14ac:dyDescent="0.25">
      <c r="A21" s="250" t="s">
        <v>370</v>
      </c>
      <c r="B21" s="238">
        <v>2507.9833699999999</v>
      </c>
    </row>
    <row r="22" spans="1:2" ht="15.75" x14ac:dyDescent="0.25">
      <c r="A22" s="250" t="s">
        <v>371</v>
      </c>
      <c r="B22" s="238">
        <v>68615.182480000003</v>
      </c>
    </row>
    <row r="23" spans="1:2" ht="15.75" x14ac:dyDescent="0.25">
      <c r="A23" s="250" t="s">
        <v>372</v>
      </c>
      <c r="B23" s="238">
        <v>1215.0287400000002</v>
      </c>
    </row>
    <row r="24" spans="1:2" ht="15.75" x14ac:dyDescent="0.25">
      <c r="A24" s="250" t="s">
        <v>373</v>
      </c>
      <c r="B24" s="238">
        <v>0</v>
      </c>
    </row>
    <row r="25" spans="1:2" ht="15.75" x14ac:dyDescent="0.25">
      <c r="A25" s="250" t="s">
        <v>374</v>
      </c>
      <c r="B25" s="238">
        <v>11209.946830000001</v>
      </c>
    </row>
    <row r="26" spans="1:2" ht="15.75" x14ac:dyDescent="0.25">
      <c r="A26" s="699" t="s">
        <v>140</v>
      </c>
      <c r="B26" s="700">
        <f>SUM(B27:B35)</f>
        <v>281882</v>
      </c>
    </row>
    <row r="27" spans="1:2" ht="15.75" x14ac:dyDescent="0.25">
      <c r="A27" s="250" t="s">
        <v>375</v>
      </c>
      <c r="B27" s="238">
        <v>61116.371460000002</v>
      </c>
    </row>
    <row r="28" spans="1:2" ht="15.75" x14ac:dyDescent="0.25">
      <c r="A28" s="250" t="s">
        <v>376</v>
      </c>
      <c r="B28" s="238">
        <v>27050.23302</v>
      </c>
    </row>
    <row r="29" spans="1:2" ht="15.75" x14ac:dyDescent="0.25">
      <c r="A29" s="250" t="s">
        <v>377</v>
      </c>
      <c r="B29" s="238">
        <v>28935.552049999998</v>
      </c>
    </row>
    <row r="30" spans="1:2" ht="15.75" x14ac:dyDescent="0.25">
      <c r="A30" s="250" t="s">
        <v>378</v>
      </c>
      <c r="B30" s="238">
        <v>11911.988370000001</v>
      </c>
    </row>
    <row r="31" spans="1:2" ht="15.75" x14ac:dyDescent="0.25">
      <c r="A31" s="250" t="s">
        <v>379</v>
      </c>
      <c r="B31" s="238">
        <v>54925.800380000001</v>
      </c>
    </row>
    <row r="32" spans="1:2" ht="15.75" x14ac:dyDescent="0.25">
      <c r="A32" s="250" t="s">
        <v>380</v>
      </c>
      <c r="B32" s="238">
        <v>71964.802830000001</v>
      </c>
    </row>
    <row r="33" spans="1:2" ht="15.75" x14ac:dyDescent="0.25">
      <c r="A33" s="250" t="s">
        <v>381</v>
      </c>
      <c r="B33" s="238">
        <v>12975.515740000001</v>
      </c>
    </row>
    <row r="34" spans="1:2" ht="15.75" x14ac:dyDescent="0.25">
      <c r="A34" s="250" t="s">
        <v>382</v>
      </c>
      <c r="B34" s="238">
        <v>3218.1812400000003</v>
      </c>
    </row>
    <row r="35" spans="1:2" ht="15.75" x14ac:dyDescent="0.25">
      <c r="A35" s="250" t="s">
        <v>383</v>
      </c>
      <c r="B35" s="238">
        <v>9783.5549100000007</v>
      </c>
    </row>
    <row r="36" spans="1:2" ht="15.75" x14ac:dyDescent="0.25">
      <c r="A36" s="699" t="s">
        <v>384</v>
      </c>
      <c r="B36" s="700">
        <f>SUM(B37:B45)</f>
        <v>12248621</v>
      </c>
    </row>
    <row r="37" spans="1:2" ht="15.75" x14ac:dyDescent="0.25">
      <c r="A37" s="250" t="s">
        <v>385</v>
      </c>
      <c r="B37" s="238">
        <f>11882834+67894-122679</f>
        <v>11828049</v>
      </c>
    </row>
    <row r="38" spans="1:2" ht="15.75" x14ac:dyDescent="0.25">
      <c r="A38" s="250" t="s">
        <v>386</v>
      </c>
      <c r="B38" s="238">
        <v>572</v>
      </c>
    </row>
    <row r="39" spans="1:2" ht="15.75" x14ac:dyDescent="0.25">
      <c r="A39" s="250" t="s">
        <v>387</v>
      </c>
      <c r="B39" s="238">
        <v>0</v>
      </c>
    </row>
    <row r="40" spans="1:2" ht="15.75" x14ac:dyDescent="0.25">
      <c r="A40" s="250" t="s">
        <v>388</v>
      </c>
      <c r="B40" s="238">
        <v>20000</v>
      </c>
    </row>
    <row r="41" spans="1:2" ht="15.75" x14ac:dyDescent="0.25">
      <c r="A41" s="250" t="s">
        <v>389</v>
      </c>
      <c r="B41" s="238">
        <f>220000+180000</f>
        <v>400000</v>
      </c>
    </row>
    <row r="42" spans="1:2" ht="15.75" x14ac:dyDescent="0.25">
      <c r="A42" s="250" t="s">
        <v>390</v>
      </c>
      <c r="B42" s="238">
        <v>0</v>
      </c>
    </row>
    <row r="43" spans="1:2" ht="15.75" x14ac:dyDescent="0.25">
      <c r="A43" s="250" t="s">
        <v>391</v>
      </c>
      <c r="B43" s="238">
        <v>0</v>
      </c>
    </row>
    <row r="44" spans="1:2" ht="15.75" x14ac:dyDescent="0.25">
      <c r="A44" s="250" t="s">
        <v>392</v>
      </c>
      <c r="B44" s="238">
        <v>0</v>
      </c>
    </row>
    <row r="45" spans="1:2" ht="15.75" x14ac:dyDescent="0.25">
      <c r="A45" s="250" t="s">
        <v>393</v>
      </c>
      <c r="B45" s="238">
        <v>0</v>
      </c>
    </row>
    <row r="46" spans="1:2" ht="15.75" x14ac:dyDescent="0.25">
      <c r="A46" s="250"/>
      <c r="B46" s="238"/>
    </row>
    <row r="47" spans="1:2" ht="15.75" x14ac:dyDescent="0.25">
      <c r="A47" s="250"/>
      <c r="B47" s="238"/>
    </row>
    <row r="48" spans="1:2" ht="15.75" x14ac:dyDescent="0.25">
      <c r="A48" s="250"/>
      <c r="B48" s="238"/>
    </row>
    <row r="49" spans="1:2" ht="15.75" x14ac:dyDescent="0.25">
      <c r="A49" s="250"/>
      <c r="B49" s="238"/>
    </row>
    <row r="50" spans="1:2" ht="15.75" x14ac:dyDescent="0.25">
      <c r="A50" s="250"/>
      <c r="B50" s="238"/>
    </row>
    <row r="51" spans="1:2" ht="15.75" x14ac:dyDescent="0.25">
      <c r="A51" s="250"/>
      <c r="B51" s="238"/>
    </row>
    <row r="52" spans="1:2" ht="15.75" x14ac:dyDescent="0.25">
      <c r="A52" s="250"/>
      <c r="B52" s="238"/>
    </row>
    <row r="53" spans="1:2" ht="15.75" x14ac:dyDescent="0.25">
      <c r="A53" s="699" t="s">
        <v>394</v>
      </c>
      <c r="B53" s="700">
        <f>SUM(B54:B62)</f>
        <v>15000</v>
      </c>
    </row>
    <row r="54" spans="1:2" ht="15.75" x14ac:dyDescent="0.25">
      <c r="A54" s="250" t="s">
        <v>585</v>
      </c>
      <c r="B54" s="238">
        <v>15000</v>
      </c>
    </row>
    <row r="55" spans="1:2" ht="15.75" x14ac:dyDescent="0.25">
      <c r="A55" s="250" t="s">
        <v>586</v>
      </c>
      <c r="B55" s="238"/>
    </row>
    <row r="56" spans="1:2" ht="15.75" x14ac:dyDescent="0.25">
      <c r="A56" s="250" t="s">
        <v>395</v>
      </c>
      <c r="B56" s="238">
        <v>0</v>
      </c>
    </row>
    <row r="57" spans="1:2" ht="15.75" x14ac:dyDescent="0.25">
      <c r="A57" s="250" t="s">
        <v>396</v>
      </c>
      <c r="B57" s="238">
        <v>0</v>
      </c>
    </row>
    <row r="58" spans="1:2" ht="15.75" x14ac:dyDescent="0.25">
      <c r="A58" s="250" t="s">
        <v>397</v>
      </c>
      <c r="B58" s="238">
        <v>0</v>
      </c>
    </row>
    <row r="59" spans="1:2" ht="15.75" x14ac:dyDescent="0.25">
      <c r="A59" s="250" t="s">
        <v>398</v>
      </c>
      <c r="B59" s="238">
        <v>0</v>
      </c>
    </row>
    <row r="60" spans="1:2" ht="15.75" x14ac:dyDescent="0.25">
      <c r="A60" s="250" t="s">
        <v>399</v>
      </c>
      <c r="B60" s="238">
        <v>0</v>
      </c>
    </row>
    <row r="61" spans="1:2" ht="15.75" x14ac:dyDescent="0.25">
      <c r="A61" s="250" t="s">
        <v>400</v>
      </c>
      <c r="B61" s="238">
        <v>0</v>
      </c>
    </row>
    <row r="62" spans="1:2" ht="15.75" x14ac:dyDescent="0.25">
      <c r="A62" s="250" t="s">
        <v>401</v>
      </c>
      <c r="B62" s="238">
        <v>0</v>
      </c>
    </row>
    <row r="63" spans="1:2" ht="15.75" x14ac:dyDescent="0.25">
      <c r="A63" s="699" t="s">
        <v>142</v>
      </c>
      <c r="B63" s="700">
        <f>SUM(B64:B66)</f>
        <v>937670</v>
      </c>
    </row>
    <row r="64" spans="1:2" ht="15.75" x14ac:dyDescent="0.25">
      <c r="A64" s="250" t="s">
        <v>402</v>
      </c>
      <c r="B64" s="238">
        <v>937670</v>
      </c>
    </row>
    <row r="65" spans="1:2" ht="15.75" x14ac:dyDescent="0.25">
      <c r="A65" s="250" t="s">
        <v>403</v>
      </c>
      <c r="B65" s="238">
        <v>0</v>
      </c>
    </row>
    <row r="66" spans="1:2" ht="15.75" x14ac:dyDescent="0.25">
      <c r="A66" s="250" t="s">
        <v>404</v>
      </c>
      <c r="B66" s="238">
        <v>0</v>
      </c>
    </row>
    <row r="67" spans="1:2" ht="15.75" x14ac:dyDescent="0.25">
      <c r="A67" s="699" t="s">
        <v>405</v>
      </c>
      <c r="B67" s="700">
        <f>SUM(B68:B74)</f>
        <v>137690</v>
      </c>
    </row>
    <row r="68" spans="1:2" ht="15.75" x14ac:dyDescent="0.25">
      <c r="A68" s="250" t="s">
        <v>406</v>
      </c>
      <c r="B68" s="238">
        <v>0</v>
      </c>
    </row>
    <row r="69" spans="1:2" ht="15.75" x14ac:dyDescent="0.25">
      <c r="A69" s="250" t="s">
        <v>407</v>
      </c>
      <c r="B69" s="238">
        <v>0</v>
      </c>
    </row>
    <row r="70" spans="1:2" ht="15.75" x14ac:dyDescent="0.25">
      <c r="A70" s="250" t="s">
        <v>408</v>
      </c>
      <c r="B70" s="238">
        <v>0</v>
      </c>
    </row>
    <row r="71" spans="1:2" ht="15.75" x14ac:dyDescent="0.25">
      <c r="A71" s="250" t="s">
        <v>409</v>
      </c>
      <c r="B71" s="238">
        <v>0</v>
      </c>
    </row>
    <row r="72" spans="1:2" ht="15.75" x14ac:dyDescent="0.25">
      <c r="A72" s="250" t="s">
        <v>410</v>
      </c>
      <c r="B72" s="238">
        <v>0</v>
      </c>
    </row>
    <row r="73" spans="1:2" ht="15.75" x14ac:dyDescent="0.25">
      <c r="A73" s="250" t="s">
        <v>411</v>
      </c>
      <c r="B73" s="238">
        <v>0</v>
      </c>
    </row>
    <row r="74" spans="1:2" ht="15.75" x14ac:dyDescent="0.25">
      <c r="A74" s="250" t="s">
        <v>412</v>
      </c>
      <c r="B74" s="238">
        <v>137690</v>
      </c>
    </row>
    <row r="75" spans="1:2" ht="15.75" x14ac:dyDescent="0.25">
      <c r="A75" s="699" t="s">
        <v>413</v>
      </c>
      <c r="B75" s="700">
        <f>SUM(B76:B78)</f>
        <v>3821407</v>
      </c>
    </row>
    <row r="76" spans="1:2" ht="15.75" x14ac:dyDescent="0.25">
      <c r="A76" s="250" t="s">
        <v>245</v>
      </c>
      <c r="B76" s="238">
        <f>1938023+365907</f>
        <v>2303930</v>
      </c>
    </row>
    <row r="77" spans="1:2" ht="15.75" x14ac:dyDescent="0.25">
      <c r="A77" s="250" t="s">
        <v>414</v>
      </c>
      <c r="B77" s="238">
        <f>1264474+133003</f>
        <v>1397477</v>
      </c>
    </row>
    <row r="78" spans="1:2" ht="15.75" x14ac:dyDescent="0.25">
      <c r="A78" s="250" t="s">
        <v>331</v>
      </c>
      <c r="B78" s="238">
        <v>120000</v>
      </c>
    </row>
    <row r="79" spans="1:2" ht="15.75" x14ac:dyDescent="0.25">
      <c r="A79" s="699" t="s">
        <v>23</v>
      </c>
      <c r="B79" s="700">
        <f>SUM(B80:B85)</f>
        <v>577184</v>
      </c>
    </row>
    <row r="80" spans="1:2" ht="15.75" x14ac:dyDescent="0.25">
      <c r="A80" s="250" t="s">
        <v>415</v>
      </c>
      <c r="B80" s="238">
        <v>271841</v>
      </c>
    </row>
    <row r="81" spans="1:2" ht="15.75" x14ac:dyDescent="0.25">
      <c r="A81" s="250" t="s">
        <v>416</v>
      </c>
      <c r="B81" s="238">
        <v>140256</v>
      </c>
    </row>
    <row r="82" spans="1:2" ht="15.75" x14ac:dyDescent="0.25">
      <c r="A82" s="250" t="s">
        <v>417</v>
      </c>
      <c r="B82" s="238">
        <v>0</v>
      </c>
    </row>
    <row r="83" spans="1:2" ht="15.75" x14ac:dyDescent="0.25">
      <c r="A83" s="250" t="s">
        <v>418</v>
      </c>
      <c r="B83" s="238">
        <v>165087</v>
      </c>
    </row>
    <row r="84" spans="1:2" ht="15.75" x14ac:dyDescent="0.25">
      <c r="A84" s="250" t="s">
        <v>419</v>
      </c>
      <c r="B84" s="238">
        <v>0</v>
      </c>
    </row>
    <row r="85" spans="1:2" ht="15.75" x14ac:dyDescent="0.25">
      <c r="A85" s="250" t="s">
        <v>420</v>
      </c>
      <c r="B85" s="238">
        <v>0</v>
      </c>
    </row>
    <row r="86" spans="1:2" ht="16.5" thickBot="1" x14ac:dyDescent="0.3">
      <c r="A86" s="701" t="s">
        <v>421</v>
      </c>
      <c r="B86" s="702">
        <v>0</v>
      </c>
    </row>
    <row r="188" ht="14.45" customHeight="1" x14ac:dyDescent="0.25"/>
  </sheetData>
  <mergeCells count="6">
    <mergeCell ref="A1:B1"/>
    <mergeCell ref="A2:B2"/>
    <mergeCell ref="A3:B3"/>
    <mergeCell ref="A4:B4"/>
    <mergeCell ref="A5:A6"/>
    <mergeCell ref="B5:B6"/>
  </mergeCells>
  <pageMargins left="0.70866141732283472" right="0.70866141732283472" top="0.74803149606299213" bottom="0.80572916666666672" header="0.31496062992125984" footer="0.42656250000000001"/>
  <pageSetup paperSize="9" scale="91" fitToHeight="0" orientation="portrait" r:id="rId1"/>
  <headerFooter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workbookViewId="0">
      <selection activeCell="D126" sqref="D126"/>
    </sheetView>
  </sheetViews>
  <sheetFormatPr baseColWidth="10" defaultColWidth="11.42578125" defaultRowHeight="15" x14ac:dyDescent="0.25"/>
  <cols>
    <col min="1" max="1" width="47.140625" customWidth="1"/>
    <col min="2" max="2" width="23.42578125" customWidth="1"/>
  </cols>
  <sheetData>
    <row r="1" spans="1:5" ht="15.75" x14ac:dyDescent="0.25">
      <c r="A1" s="796" t="s">
        <v>422</v>
      </c>
      <c r="B1" s="798"/>
    </row>
    <row r="2" spans="1:5" ht="18.75" x14ac:dyDescent="0.25">
      <c r="A2" s="839" t="s">
        <v>343</v>
      </c>
      <c r="B2" s="841"/>
    </row>
    <row r="3" spans="1:5" ht="15.75" x14ac:dyDescent="0.25">
      <c r="A3" s="842" t="s">
        <v>423</v>
      </c>
      <c r="B3" s="844"/>
    </row>
    <row r="4" spans="1:5" ht="16.5" thickBot="1" x14ac:dyDescent="0.3">
      <c r="A4" s="845" t="s">
        <v>0</v>
      </c>
      <c r="B4" s="847"/>
    </row>
    <row r="5" spans="1:5" x14ac:dyDescent="0.25">
      <c r="A5" s="848" t="s">
        <v>1</v>
      </c>
      <c r="B5" s="848" t="s">
        <v>323</v>
      </c>
    </row>
    <row r="6" spans="1:5" ht="15.75" thickBot="1" x14ac:dyDescent="0.3">
      <c r="A6" s="835"/>
      <c r="B6" s="835"/>
    </row>
    <row r="7" spans="1:5" ht="16.5" thickBot="1" x14ac:dyDescent="0.3">
      <c r="A7" s="711" t="s">
        <v>5</v>
      </c>
      <c r="B7" s="712">
        <f>SUM(B8:B14)</f>
        <v>19453754</v>
      </c>
      <c r="E7" s="703"/>
    </row>
    <row r="8" spans="1:5" ht="15.75" x14ac:dyDescent="0.25">
      <c r="A8" s="250" t="s">
        <v>14</v>
      </c>
      <c r="B8" s="238">
        <v>2668852</v>
      </c>
    </row>
    <row r="9" spans="1:5" ht="15.75" x14ac:dyDescent="0.25">
      <c r="A9" s="250" t="s">
        <v>9</v>
      </c>
      <c r="B9" s="238">
        <v>395000</v>
      </c>
    </row>
    <row r="10" spans="1:5" ht="15.75" x14ac:dyDescent="0.25">
      <c r="A10" s="250" t="s">
        <v>10</v>
      </c>
      <c r="B10" s="238">
        <v>567198</v>
      </c>
    </row>
    <row r="11" spans="1:5" ht="15.75" x14ac:dyDescent="0.25">
      <c r="A11" s="187" t="s">
        <v>424</v>
      </c>
      <c r="B11" s="194">
        <f>105113+14500+28750</f>
        <v>148363</v>
      </c>
    </row>
    <row r="12" spans="1:5" ht="15.75" x14ac:dyDescent="0.25">
      <c r="A12" s="187" t="s">
        <v>425</v>
      </c>
      <c r="B12" s="194">
        <v>11275750</v>
      </c>
    </row>
    <row r="13" spans="1:5" ht="15.75" x14ac:dyDescent="0.25">
      <c r="A13" s="239" t="s">
        <v>24</v>
      </c>
      <c r="B13" s="242">
        <f>3455500+365907</f>
        <v>3821407</v>
      </c>
    </row>
    <row r="14" spans="1:5" ht="15.75" x14ac:dyDescent="0.25">
      <c r="A14" s="239" t="s">
        <v>23</v>
      </c>
      <c r="B14" s="242">
        <v>577184</v>
      </c>
    </row>
    <row r="15" spans="1:5" ht="16.5" thickBot="1" x14ac:dyDescent="0.3">
      <c r="A15" s="331"/>
      <c r="B15" s="135"/>
    </row>
    <row r="17" spans="1:6" ht="15.75" thickBot="1" x14ac:dyDescent="0.3"/>
    <row r="18" spans="1:6" ht="16.5" thickBot="1" x14ac:dyDescent="0.3">
      <c r="A18" s="796" t="s">
        <v>14</v>
      </c>
      <c r="B18" s="798"/>
    </row>
    <row r="19" spans="1:6" x14ac:dyDescent="0.25">
      <c r="A19" s="848" t="s">
        <v>1</v>
      </c>
      <c r="B19" s="848" t="s">
        <v>323</v>
      </c>
    </row>
    <row r="20" spans="1:6" ht="15.75" thickBot="1" x14ac:dyDescent="0.3">
      <c r="A20" s="835"/>
      <c r="B20" s="835"/>
    </row>
    <row r="21" spans="1:6" ht="16.5" thickBot="1" x14ac:dyDescent="0.3">
      <c r="A21" s="711" t="s">
        <v>5</v>
      </c>
      <c r="B21" s="712">
        <f>SUM(B22:B42)</f>
        <v>2668852</v>
      </c>
      <c r="D21" s="703"/>
    </row>
    <row r="22" spans="1:6" ht="15.75" x14ac:dyDescent="0.25">
      <c r="A22" s="250" t="s">
        <v>111</v>
      </c>
      <c r="B22" s="238">
        <v>33224</v>
      </c>
      <c r="E22" s="704"/>
      <c r="F22" s="547"/>
    </row>
    <row r="23" spans="1:6" ht="15.75" x14ac:dyDescent="0.25">
      <c r="A23" s="250" t="s">
        <v>112</v>
      </c>
      <c r="B23" s="238">
        <v>278343</v>
      </c>
      <c r="D23" s="703"/>
      <c r="E23" s="704"/>
      <c r="F23" s="547"/>
    </row>
    <row r="24" spans="1:6" ht="15.75" x14ac:dyDescent="0.25">
      <c r="A24" s="250" t="s">
        <v>113</v>
      </c>
      <c r="B24" s="238">
        <v>342914</v>
      </c>
      <c r="E24" s="704"/>
      <c r="F24" s="547"/>
    </row>
    <row r="25" spans="1:6" ht="15.75" x14ac:dyDescent="0.25">
      <c r="A25" s="250" t="s">
        <v>114</v>
      </c>
      <c r="B25" s="238">
        <v>260171</v>
      </c>
      <c r="E25" s="704"/>
      <c r="F25" s="547"/>
    </row>
    <row r="26" spans="1:6" ht="15.75" x14ac:dyDescent="0.25">
      <c r="A26" s="250" t="s">
        <v>115</v>
      </c>
      <c r="B26" s="238">
        <v>79592</v>
      </c>
      <c r="E26" s="704"/>
      <c r="F26" s="547"/>
    </row>
    <row r="27" spans="1:6" ht="15.75" x14ac:dyDescent="0.25">
      <c r="A27" s="250" t="s">
        <v>116</v>
      </c>
      <c r="B27" s="238">
        <v>83828</v>
      </c>
      <c r="E27" s="704"/>
      <c r="F27" s="547"/>
    </row>
    <row r="28" spans="1:6" ht="15.75" x14ac:dyDescent="0.25">
      <c r="A28" s="250" t="s">
        <v>117</v>
      </c>
      <c r="B28" s="238">
        <v>18282</v>
      </c>
      <c r="E28" s="704"/>
      <c r="F28" s="547"/>
    </row>
    <row r="29" spans="1:6" ht="15.75" x14ac:dyDescent="0.25">
      <c r="A29" s="250" t="s">
        <v>118</v>
      </c>
      <c r="B29" s="238">
        <v>20325</v>
      </c>
      <c r="E29" s="704"/>
      <c r="F29" s="547"/>
    </row>
    <row r="30" spans="1:6" ht="15.75" x14ac:dyDescent="0.25">
      <c r="A30" s="250" t="s">
        <v>119</v>
      </c>
      <c r="B30" s="238">
        <v>275162</v>
      </c>
      <c r="E30" s="704"/>
      <c r="F30" s="547"/>
    </row>
    <row r="31" spans="1:6" ht="15.75" x14ac:dyDescent="0.25">
      <c r="A31" s="250" t="s">
        <v>120</v>
      </c>
      <c r="B31" s="238">
        <f>69619+15000</f>
        <v>84619</v>
      </c>
      <c r="E31" s="704"/>
      <c r="F31" s="547"/>
    </row>
    <row r="32" spans="1:6" ht="15.75" x14ac:dyDescent="0.25">
      <c r="A32" s="250" t="s">
        <v>121</v>
      </c>
      <c r="B32" s="238">
        <v>24000</v>
      </c>
      <c r="E32" s="704"/>
      <c r="F32" s="547"/>
    </row>
    <row r="33" spans="1:6" ht="15.75" x14ac:dyDescent="0.25">
      <c r="A33" s="250" t="s">
        <v>122</v>
      </c>
      <c r="B33" s="238">
        <v>643773</v>
      </c>
      <c r="E33" s="704"/>
      <c r="F33" s="547"/>
    </row>
    <row r="34" spans="1:6" ht="15.75" x14ac:dyDescent="0.25">
      <c r="A34" s="250" t="s">
        <v>123</v>
      </c>
      <c r="B34" s="238">
        <v>15714</v>
      </c>
      <c r="E34" s="704"/>
      <c r="F34" s="547"/>
    </row>
    <row r="35" spans="1:6" ht="15.75" x14ac:dyDescent="0.25">
      <c r="A35" s="250" t="s">
        <v>124</v>
      </c>
      <c r="B35" s="238">
        <v>27878</v>
      </c>
      <c r="E35" s="704"/>
      <c r="F35" s="547"/>
    </row>
    <row r="36" spans="1:6" ht="15.75" x14ac:dyDescent="0.25">
      <c r="A36" s="250" t="s">
        <v>125</v>
      </c>
      <c r="B36" s="238">
        <v>77076</v>
      </c>
      <c r="E36" s="704"/>
      <c r="F36" s="547"/>
    </row>
    <row r="37" spans="1:6" ht="15.75" x14ac:dyDescent="0.25">
      <c r="A37" s="250" t="s">
        <v>126</v>
      </c>
      <c r="B37" s="238">
        <v>50590</v>
      </c>
      <c r="E37" s="704"/>
      <c r="F37" s="547"/>
    </row>
    <row r="38" spans="1:6" ht="15.75" x14ac:dyDescent="0.25">
      <c r="A38" s="250" t="s">
        <v>127</v>
      </c>
      <c r="B38" s="238">
        <v>56000</v>
      </c>
      <c r="E38" s="704"/>
      <c r="F38" s="547"/>
    </row>
    <row r="39" spans="1:6" ht="15.75" x14ac:dyDescent="0.25">
      <c r="A39" s="250" t="s">
        <v>128</v>
      </c>
      <c r="B39" s="238">
        <v>104662</v>
      </c>
      <c r="E39" s="704"/>
      <c r="F39" s="547"/>
    </row>
    <row r="40" spans="1:6" ht="15.75" x14ac:dyDescent="0.25">
      <c r="A40" s="250" t="s">
        <v>129</v>
      </c>
      <c r="B40" s="238">
        <v>132340</v>
      </c>
      <c r="E40" s="704"/>
      <c r="F40" s="547"/>
    </row>
    <row r="41" spans="1:6" ht="15.75" x14ac:dyDescent="0.25">
      <c r="A41" s="250" t="s">
        <v>130</v>
      </c>
      <c r="B41" s="238">
        <v>21537</v>
      </c>
      <c r="E41" s="704"/>
      <c r="F41" s="547"/>
    </row>
    <row r="42" spans="1:6" ht="15.75" x14ac:dyDescent="0.25">
      <c r="A42" s="250" t="s">
        <v>131</v>
      </c>
      <c r="B42" s="238">
        <v>38822</v>
      </c>
      <c r="E42" s="704"/>
      <c r="F42" s="547"/>
    </row>
    <row r="43" spans="1:6" ht="16.5" thickBot="1" x14ac:dyDescent="0.3">
      <c r="A43" s="331"/>
      <c r="B43" s="135"/>
    </row>
    <row r="56" spans="1:2" ht="15.75" thickBot="1" x14ac:dyDescent="0.3"/>
    <row r="57" spans="1:2" ht="16.5" thickBot="1" x14ac:dyDescent="0.3">
      <c r="A57" s="796" t="s">
        <v>426</v>
      </c>
      <c r="B57" s="798"/>
    </row>
    <row r="58" spans="1:2" x14ac:dyDescent="0.25">
      <c r="A58" s="848" t="s">
        <v>1</v>
      </c>
      <c r="B58" s="848" t="s">
        <v>323</v>
      </c>
    </row>
    <row r="59" spans="1:2" ht="15.75" thickBot="1" x14ac:dyDescent="0.3">
      <c r="A59" s="835"/>
      <c r="B59" s="835"/>
    </row>
    <row r="60" spans="1:2" ht="16.5" thickBot="1" x14ac:dyDescent="0.3">
      <c r="A60" s="711" t="s">
        <v>5</v>
      </c>
      <c r="B60" s="712">
        <f>SUM(B61:B62)</f>
        <v>395000</v>
      </c>
    </row>
    <row r="61" spans="1:2" ht="15.75" x14ac:dyDescent="0.25">
      <c r="A61" s="250" t="s">
        <v>98</v>
      </c>
      <c r="B61" s="238">
        <v>390246</v>
      </c>
    </row>
    <row r="62" spans="1:2" ht="15.75" x14ac:dyDescent="0.25">
      <c r="A62" s="250" t="s">
        <v>99</v>
      </c>
      <c r="B62" s="238">
        <v>4754</v>
      </c>
    </row>
    <row r="63" spans="1:2" ht="16.5" thickBot="1" x14ac:dyDescent="0.3">
      <c r="A63" s="331"/>
      <c r="B63" s="135"/>
    </row>
    <row r="67" spans="1:2" ht="15.75" thickBot="1" x14ac:dyDescent="0.3"/>
    <row r="68" spans="1:2" ht="16.5" thickBot="1" x14ac:dyDescent="0.3">
      <c r="A68" s="796" t="s">
        <v>10</v>
      </c>
      <c r="B68" s="798"/>
    </row>
    <row r="69" spans="1:2" x14ac:dyDescent="0.25">
      <c r="A69" s="848" t="s">
        <v>1</v>
      </c>
      <c r="B69" s="848" t="s">
        <v>323</v>
      </c>
    </row>
    <row r="70" spans="1:2" ht="15.75" thickBot="1" x14ac:dyDescent="0.3">
      <c r="A70" s="835"/>
      <c r="B70" s="835"/>
    </row>
    <row r="71" spans="1:2" ht="16.5" thickBot="1" x14ac:dyDescent="0.3">
      <c r="A71" s="711" t="s">
        <v>5</v>
      </c>
      <c r="B71" s="712">
        <f>SUM(B72:B79)</f>
        <v>567198</v>
      </c>
    </row>
    <row r="72" spans="1:2" ht="15.75" x14ac:dyDescent="0.25">
      <c r="A72" s="250" t="s">
        <v>101</v>
      </c>
      <c r="B72" s="238">
        <v>451559</v>
      </c>
    </row>
    <row r="73" spans="1:2" ht="15.75" x14ac:dyDescent="0.25">
      <c r="A73" s="250" t="s">
        <v>102</v>
      </c>
      <c r="B73" s="238">
        <v>12252</v>
      </c>
    </row>
    <row r="74" spans="1:2" ht="15.75" x14ac:dyDescent="0.25">
      <c r="A74" s="250" t="s">
        <v>103</v>
      </c>
      <c r="B74" s="238">
        <v>14686</v>
      </c>
    </row>
    <row r="75" spans="1:2" ht="15.75" x14ac:dyDescent="0.25">
      <c r="A75" s="250" t="s">
        <v>104</v>
      </c>
      <c r="B75" s="238">
        <v>65476</v>
      </c>
    </row>
    <row r="76" spans="1:2" ht="15.75" x14ac:dyDescent="0.25">
      <c r="A76" s="250" t="s">
        <v>105</v>
      </c>
      <c r="B76" s="238">
        <v>17892</v>
      </c>
    </row>
    <row r="77" spans="1:2" ht="15.75" x14ac:dyDescent="0.25">
      <c r="A77" s="250" t="s">
        <v>427</v>
      </c>
      <c r="B77" s="238">
        <v>1000</v>
      </c>
    </row>
    <row r="78" spans="1:2" ht="15.75" x14ac:dyDescent="0.25">
      <c r="A78" s="250" t="s">
        <v>320</v>
      </c>
      <c r="B78" s="238">
        <v>1500</v>
      </c>
    </row>
    <row r="79" spans="1:2" ht="16.5" thickBot="1" x14ac:dyDescent="0.3">
      <c r="A79" s="331" t="s">
        <v>568</v>
      </c>
      <c r="B79" s="135">
        <v>2833</v>
      </c>
    </row>
    <row r="80" spans="1:2" ht="15.75" x14ac:dyDescent="0.25">
      <c r="A80" s="705"/>
      <c r="B80" s="706"/>
    </row>
    <row r="81" spans="1:2" ht="15.75" x14ac:dyDescent="0.25">
      <c r="A81" s="705"/>
      <c r="B81" s="706"/>
    </row>
    <row r="82" spans="1:2" ht="15.75" x14ac:dyDescent="0.25">
      <c r="A82" s="705"/>
      <c r="B82" s="706"/>
    </row>
    <row r="83" spans="1:2" ht="15.75" thickBot="1" x14ac:dyDescent="0.3"/>
    <row r="84" spans="1:2" ht="16.5" thickBot="1" x14ac:dyDescent="0.3">
      <c r="A84" s="796" t="s">
        <v>424</v>
      </c>
      <c r="B84" s="798"/>
    </row>
    <row r="85" spans="1:2" x14ac:dyDescent="0.25">
      <c r="A85" s="848" t="s">
        <v>1</v>
      </c>
      <c r="B85" s="848" t="s">
        <v>323</v>
      </c>
    </row>
    <row r="86" spans="1:2" ht="15.75" thickBot="1" x14ac:dyDescent="0.3">
      <c r="A86" s="835"/>
      <c r="B86" s="835"/>
    </row>
    <row r="87" spans="1:2" ht="16.5" thickBot="1" x14ac:dyDescent="0.3">
      <c r="A87" s="711" t="s">
        <v>5</v>
      </c>
      <c r="B87" s="712">
        <f>SUM(B88:B91)</f>
        <v>148363</v>
      </c>
    </row>
    <row r="88" spans="1:2" ht="15.75" x14ac:dyDescent="0.25">
      <c r="A88" s="250" t="s">
        <v>11</v>
      </c>
      <c r="B88" s="238">
        <v>105113</v>
      </c>
    </row>
    <row r="89" spans="1:2" ht="15.75" x14ac:dyDescent="0.25">
      <c r="A89" s="250" t="s">
        <v>12</v>
      </c>
      <c r="B89" s="238">
        <v>14500</v>
      </c>
    </row>
    <row r="90" spans="1:2" ht="31.5" x14ac:dyDescent="0.25">
      <c r="A90" s="707" t="s">
        <v>109</v>
      </c>
      <c r="B90" s="238">
        <v>10700</v>
      </c>
    </row>
    <row r="91" spans="1:2" ht="31.5" x14ac:dyDescent="0.25">
      <c r="A91" s="707" t="s">
        <v>110</v>
      </c>
      <c r="B91" s="238">
        <f>16250+1800</f>
        <v>18050</v>
      </c>
    </row>
    <row r="92" spans="1:2" ht="16.5" thickBot="1" x14ac:dyDescent="0.3">
      <c r="A92" s="331"/>
      <c r="B92" s="135"/>
    </row>
    <row r="99" spans="1:2" ht="15.75" thickBot="1" x14ac:dyDescent="0.3"/>
    <row r="100" spans="1:2" ht="16.5" thickBot="1" x14ac:dyDescent="0.3">
      <c r="A100" s="796" t="s">
        <v>425</v>
      </c>
      <c r="B100" s="798"/>
    </row>
    <row r="101" spans="1:2" x14ac:dyDescent="0.25">
      <c r="A101" s="848" t="s">
        <v>1</v>
      </c>
      <c r="B101" s="848" t="s">
        <v>323</v>
      </c>
    </row>
    <row r="102" spans="1:2" ht="15.75" thickBot="1" x14ac:dyDescent="0.3">
      <c r="A102" s="835"/>
      <c r="B102" s="835"/>
    </row>
    <row r="103" spans="1:2" ht="16.5" thickBot="1" x14ac:dyDescent="0.3">
      <c r="A103" s="711" t="s">
        <v>5</v>
      </c>
      <c r="B103" s="712">
        <f>B104+B108+B117+B120+B122+B126+B128+B135+B147+B166+B171+B174+B176+B179+B182+B185+B187+B189</f>
        <v>11275750.25</v>
      </c>
    </row>
    <row r="104" spans="1:2" ht="15.75" x14ac:dyDescent="0.25">
      <c r="A104" s="708" t="s">
        <v>180</v>
      </c>
      <c r="B104" s="709">
        <v>23000</v>
      </c>
    </row>
    <row r="105" spans="1:2" ht="15.75" x14ac:dyDescent="0.25">
      <c r="A105" s="696" t="s">
        <v>346</v>
      </c>
      <c r="B105" s="194">
        <v>8000</v>
      </c>
    </row>
    <row r="106" spans="1:2" ht="15.75" x14ac:dyDescent="0.25">
      <c r="A106" s="696" t="s">
        <v>143</v>
      </c>
      <c r="B106" s="194">
        <v>8000</v>
      </c>
    </row>
    <row r="107" spans="1:2" ht="15.75" x14ac:dyDescent="0.25">
      <c r="A107" s="696" t="s">
        <v>347</v>
      </c>
      <c r="B107" s="194">
        <v>7000</v>
      </c>
    </row>
    <row r="108" spans="1:2" ht="15.75" x14ac:dyDescent="0.25">
      <c r="A108" s="710" t="s">
        <v>181</v>
      </c>
      <c r="B108" s="434">
        <v>96728</v>
      </c>
    </row>
    <row r="109" spans="1:2" ht="15.75" x14ac:dyDescent="0.25">
      <c r="A109" s="275" t="s">
        <v>145</v>
      </c>
      <c r="B109" s="194">
        <v>495</v>
      </c>
    </row>
    <row r="110" spans="1:2" ht="15.75" x14ac:dyDescent="0.25">
      <c r="A110" s="275" t="s">
        <v>146</v>
      </c>
      <c r="B110" s="194">
        <v>6185</v>
      </c>
    </row>
    <row r="111" spans="1:2" ht="15.75" x14ac:dyDescent="0.25">
      <c r="A111" s="275" t="s">
        <v>147</v>
      </c>
      <c r="B111" s="194">
        <v>2093</v>
      </c>
    </row>
    <row r="112" spans="1:2" ht="15.75" x14ac:dyDescent="0.25">
      <c r="A112" s="275" t="s">
        <v>148</v>
      </c>
      <c r="B112" s="194">
        <v>7535</v>
      </c>
    </row>
    <row r="113" spans="1:2" ht="15.75" x14ac:dyDescent="0.25">
      <c r="A113" s="275" t="s">
        <v>350</v>
      </c>
      <c r="B113" s="194">
        <v>26087</v>
      </c>
    </row>
    <row r="114" spans="1:2" ht="15.75" x14ac:dyDescent="0.25">
      <c r="A114" s="275" t="s">
        <v>194</v>
      </c>
      <c r="B114" s="194">
        <v>11583</v>
      </c>
    </row>
    <row r="115" spans="1:2" ht="15.75" x14ac:dyDescent="0.25">
      <c r="A115" s="275" t="s">
        <v>353</v>
      </c>
      <c r="B115" s="194">
        <v>2750</v>
      </c>
    </row>
    <row r="116" spans="1:2" ht="15.75" x14ac:dyDescent="0.25">
      <c r="A116" s="275" t="s">
        <v>332</v>
      </c>
      <c r="B116" s="194">
        <v>40000</v>
      </c>
    </row>
    <row r="117" spans="1:2" ht="15.75" x14ac:dyDescent="0.25">
      <c r="A117" s="710" t="s">
        <v>113</v>
      </c>
      <c r="B117" s="434">
        <v>1573</v>
      </c>
    </row>
    <row r="118" spans="1:2" ht="15.75" x14ac:dyDescent="0.25">
      <c r="A118" s="275" t="s">
        <v>149</v>
      </c>
      <c r="B118" s="194">
        <v>1001</v>
      </c>
    </row>
    <row r="119" spans="1:2" ht="15.75" x14ac:dyDescent="0.25">
      <c r="A119" s="275" t="s">
        <v>150</v>
      </c>
      <c r="B119" s="194">
        <v>572</v>
      </c>
    </row>
    <row r="120" spans="1:2" ht="15.75" x14ac:dyDescent="0.25">
      <c r="A120" s="710" t="s">
        <v>577</v>
      </c>
      <c r="B120" s="434">
        <v>26871</v>
      </c>
    </row>
    <row r="121" spans="1:2" ht="15.75" x14ac:dyDescent="0.25">
      <c r="A121" s="275" t="s">
        <v>562</v>
      </c>
      <c r="B121" s="194">
        <v>26871</v>
      </c>
    </row>
    <row r="122" spans="1:2" ht="15.75" x14ac:dyDescent="0.25">
      <c r="A122" s="710" t="s">
        <v>114</v>
      </c>
      <c r="B122" s="434">
        <v>10228</v>
      </c>
    </row>
    <row r="123" spans="1:2" ht="31.5" x14ac:dyDescent="0.25">
      <c r="A123" s="275" t="s">
        <v>351</v>
      </c>
      <c r="B123" s="194">
        <v>4092</v>
      </c>
    </row>
    <row r="124" spans="1:2" ht="15.75" x14ac:dyDescent="0.25">
      <c r="A124" s="275" t="s">
        <v>152</v>
      </c>
      <c r="B124" s="194">
        <v>1136</v>
      </c>
    </row>
    <row r="125" spans="1:2" ht="15.75" x14ac:dyDescent="0.25">
      <c r="A125" s="275" t="s">
        <v>153</v>
      </c>
      <c r="B125" s="194">
        <v>5000</v>
      </c>
    </row>
    <row r="126" spans="1:2" ht="15.75" x14ac:dyDescent="0.25">
      <c r="A126" s="710" t="s">
        <v>182</v>
      </c>
      <c r="B126" s="434">
        <v>3000</v>
      </c>
    </row>
    <row r="127" spans="1:2" ht="15.75" x14ac:dyDescent="0.25">
      <c r="A127" s="280" t="s">
        <v>287</v>
      </c>
      <c r="B127" s="194">
        <v>3000</v>
      </c>
    </row>
    <row r="128" spans="1:2" ht="15.75" x14ac:dyDescent="0.25">
      <c r="A128" s="710" t="s">
        <v>122</v>
      </c>
      <c r="B128" s="434">
        <v>72630</v>
      </c>
    </row>
    <row r="129" spans="1:2" ht="15.75" x14ac:dyDescent="0.25">
      <c r="A129" s="280" t="s">
        <v>333</v>
      </c>
      <c r="B129" s="194">
        <v>25000</v>
      </c>
    </row>
    <row r="130" spans="1:2" ht="15.75" x14ac:dyDescent="0.25">
      <c r="A130" s="280" t="s">
        <v>183</v>
      </c>
      <c r="B130" s="194">
        <v>43459</v>
      </c>
    </row>
    <row r="131" spans="1:2" ht="15.75" x14ac:dyDescent="0.25">
      <c r="A131" s="280" t="s">
        <v>184</v>
      </c>
      <c r="B131" s="194">
        <v>1171</v>
      </c>
    </row>
    <row r="132" spans="1:2" ht="15.75" x14ac:dyDescent="0.25">
      <c r="A132" s="280" t="s">
        <v>185</v>
      </c>
      <c r="B132" s="194">
        <v>0</v>
      </c>
    </row>
    <row r="133" spans="1:2" ht="15.75" x14ac:dyDescent="0.25">
      <c r="A133" s="280" t="s">
        <v>270</v>
      </c>
      <c r="B133" s="194">
        <v>3000</v>
      </c>
    </row>
    <row r="134" spans="1:2" ht="15.75" x14ac:dyDescent="0.25">
      <c r="A134" s="275"/>
      <c r="B134" s="194"/>
    </row>
    <row r="135" spans="1:2" ht="15.75" x14ac:dyDescent="0.25">
      <c r="A135" s="710" t="s">
        <v>186</v>
      </c>
      <c r="B135" s="434">
        <v>2688514</v>
      </c>
    </row>
    <row r="136" spans="1:2" ht="15.75" x14ac:dyDescent="0.25">
      <c r="A136" s="275" t="s">
        <v>173</v>
      </c>
      <c r="B136" s="194">
        <v>3000</v>
      </c>
    </row>
    <row r="137" spans="1:2" ht="15.75" x14ac:dyDescent="0.25">
      <c r="A137" s="275" t="s">
        <v>174</v>
      </c>
      <c r="B137" s="194">
        <v>171000</v>
      </c>
    </row>
    <row r="138" spans="1:2" ht="15.75" x14ac:dyDescent="0.25">
      <c r="A138" s="275" t="s">
        <v>175</v>
      </c>
      <c r="B138" s="194">
        <v>1363493</v>
      </c>
    </row>
    <row r="139" spans="1:2" ht="15.75" x14ac:dyDescent="0.25">
      <c r="A139" s="275" t="s">
        <v>176</v>
      </c>
      <c r="B139" s="194">
        <v>796137</v>
      </c>
    </row>
    <row r="140" spans="1:2" ht="15.75" x14ac:dyDescent="0.25">
      <c r="A140" s="275" t="s">
        <v>228</v>
      </c>
      <c r="B140" s="194">
        <v>214884</v>
      </c>
    </row>
    <row r="141" spans="1:2" ht="15.75" x14ac:dyDescent="0.25">
      <c r="A141" s="275" t="s">
        <v>289</v>
      </c>
      <c r="B141" s="194">
        <v>75000</v>
      </c>
    </row>
    <row r="142" spans="1:2" ht="15.75" x14ac:dyDescent="0.25">
      <c r="A142" s="275" t="s">
        <v>573</v>
      </c>
      <c r="B142" s="194">
        <v>12000</v>
      </c>
    </row>
    <row r="143" spans="1:2" ht="15.75" x14ac:dyDescent="0.25">
      <c r="A143" s="275" t="s">
        <v>438</v>
      </c>
      <c r="B143" s="194">
        <v>20000</v>
      </c>
    </row>
    <row r="144" spans="1:2" ht="31.5" x14ac:dyDescent="0.25">
      <c r="A144" s="275" t="s">
        <v>574</v>
      </c>
      <c r="B144" s="194">
        <v>20000</v>
      </c>
    </row>
    <row r="145" spans="1:2" ht="31.5" x14ac:dyDescent="0.25">
      <c r="A145" s="275" t="s">
        <v>575</v>
      </c>
      <c r="B145" s="194">
        <v>10000</v>
      </c>
    </row>
    <row r="146" spans="1:2" ht="15.75" x14ac:dyDescent="0.25">
      <c r="A146" s="275" t="s">
        <v>576</v>
      </c>
      <c r="B146" s="194">
        <v>3000</v>
      </c>
    </row>
    <row r="147" spans="1:2" ht="15.75" x14ac:dyDescent="0.25">
      <c r="A147" s="710" t="s">
        <v>187</v>
      </c>
      <c r="B147" s="434">
        <v>7470904</v>
      </c>
    </row>
    <row r="148" spans="1:2" ht="15.75" x14ac:dyDescent="0.25">
      <c r="A148" s="275" t="s">
        <v>156</v>
      </c>
      <c r="B148" s="194">
        <v>57000</v>
      </c>
    </row>
    <row r="149" spans="1:2" ht="15.75" x14ac:dyDescent="0.25">
      <c r="A149" s="275" t="s">
        <v>157</v>
      </c>
      <c r="B149" s="194">
        <v>8863</v>
      </c>
    </row>
    <row r="150" spans="1:2" ht="15.75" x14ac:dyDescent="0.25">
      <c r="A150" s="275" t="s">
        <v>158</v>
      </c>
      <c r="B150" s="194">
        <v>73197.389196146658</v>
      </c>
    </row>
    <row r="151" spans="1:2" ht="15.75" x14ac:dyDescent="0.25">
      <c r="A151" s="275" t="s">
        <v>159</v>
      </c>
      <c r="B151" s="194">
        <v>2800</v>
      </c>
    </row>
    <row r="152" spans="1:2" ht="15.75" x14ac:dyDescent="0.25">
      <c r="A152" s="275" t="s">
        <v>160</v>
      </c>
      <c r="B152" s="194">
        <v>1174084</v>
      </c>
    </row>
    <row r="153" spans="1:2" ht="15.75" x14ac:dyDescent="0.25">
      <c r="A153" s="275" t="s">
        <v>161</v>
      </c>
      <c r="B153" s="194">
        <v>46939.610803853349</v>
      </c>
    </row>
    <row r="154" spans="1:2" ht="15.75" x14ac:dyDescent="0.25">
      <c r="A154" s="275" t="s">
        <v>162</v>
      </c>
      <c r="B154" s="194">
        <v>64701</v>
      </c>
    </row>
    <row r="155" spans="1:2" ht="15.75" x14ac:dyDescent="0.25">
      <c r="A155" s="275" t="s">
        <v>163</v>
      </c>
      <c r="B155" s="194">
        <v>28001</v>
      </c>
    </row>
    <row r="156" spans="1:2" ht="15.75" x14ac:dyDescent="0.25">
      <c r="A156" s="275" t="s">
        <v>164</v>
      </c>
      <c r="B156" s="194">
        <v>46380</v>
      </c>
    </row>
    <row r="157" spans="1:2" ht="15.75" x14ac:dyDescent="0.25">
      <c r="A157" s="275" t="s">
        <v>165</v>
      </c>
      <c r="B157" s="194">
        <v>5634513</v>
      </c>
    </row>
    <row r="158" spans="1:2" ht="15.75" x14ac:dyDescent="0.25">
      <c r="A158" s="275" t="s">
        <v>166</v>
      </c>
      <c r="B158" s="194">
        <v>3925</v>
      </c>
    </row>
    <row r="159" spans="1:2" ht="15.75" x14ac:dyDescent="0.25">
      <c r="A159" s="275" t="s">
        <v>167</v>
      </c>
      <c r="B159" s="194">
        <v>222000</v>
      </c>
    </row>
    <row r="160" spans="1:2" ht="15.75" x14ac:dyDescent="0.25">
      <c r="A160" s="275" t="s">
        <v>168</v>
      </c>
      <c r="B160" s="194">
        <v>7000</v>
      </c>
    </row>
    <row r="161" spans="1:2" ht="15.75" x14ac:dyDescent="0.25">
      <c r="A161" s="275" t="s">
        <v>169</v>
      </c>
      <c r="B161" s="194">
        <v>7000</v>
      </c>
    </row>
    <row r="162" spans="1:2" ht="15.75" x14ac:dyDescent="0.25">
      <c r="A162" s="275" t="s">
        <v>170</v>
      </c>
      <c r="B162" s="194">
        <v>3000</v>
      </c>
    </row>
    <row r="163" spans="1:2" ht="15.75" x14ac:dyDescent="0.25">
      <c r="A163" s="275" t="s">
        <v>171</v>
      </c>
      <c r="B163" s="194">
        <v>8500</v>
      </c>
    </row>
    <row r="164" spans="1:2" ht="15.75" x14ac:dyDescent="0.25">
      <c r="A164" s="275" t="s">
        <v>172</v>
      </c>
      <c r="B164" s="194">
        <v>20000</v>
      </c>
    </row>
    <row r="165" spans="1:2" ht="15.75" x14ac:dyDescent="0.25">
      <c r="A165" s="275" t="s">
        <v>582</v>
      </c>
      <c r="B165" s="194">
        <v>63000</v>
      </c>
    </row>
    <row r="166" spans="1:2" ht="15.75" x14ac:dyDescent="0.25">
      <c r="A166" s="710" t="s">
        <v>188</v>
      </c>
      <c r="B166" s="434">
        <v>32928.25</v>
      </c>
    </row>
    <row r="167" spans="1:2" ht="15.75" x14ac:dyDescent="0.25">
      <c r="A167" s="275" t="s">
        <v>222</v>
      </c>
      <c r="B167" s="194">
        <v>1500</v>
      </c>
    </row>
    <row r="168" spans="1:2" ht="15.75" x14ac:dyDescent="0.25">
      <c r="A168" s="275" t="s">
        <v>223</v>
      </c>
      <c r="B168" s="194">
        <v>698</v>
      </c>
    </row>
    <row r="169" spans="1:2" ht="15.75" x14ac:dyDescent="0.25">
      <c r="A169" s="275" t="s">
        <v>224</v>
      </c>
      <c r="B169" s="194">
        <v>25730.25</v>
      </c>
    </row>
    <row r="170" spans="1:2" ht="15.75" x14ac:dyDescent="0.25">
      <c r="A170" s="275" t="s">
        <v>225</v>
      </c>
      <c r="B170" s="194">
        <v>5000</v>
      </c>
    </row>
    <row r="171" spans="1:2" ht="15.75" x14ac:dyDescent="0.25">
      <c r="A171" s="710" t="s">
        <v>189</v>
      </c>
      <c r="B171" s="434">
        <v>60000</v>
      </c>
    </row>
    <row r="172" spans="1:2" ht="15.75" x14ac:dyDescent="0.25">
      <c r="A172" s="275" t="s">
        <v>190</v>
      </c>
      <c r="B172" s="194">
        <v>0</v>
      </c>
    </row>
    <row r="173" spans="1:2" ht="15.75" x14ac:dyDescent="0.25">
      <c r="A173" s="275" t="s">
        <v>191</v>
      </c>
      <c r="B173" s="194">
        <v>60000</v>
      </c>
    </row>
    <row r="174" spans="1:2" ht="15.75" x14ac:dyDescent="0.25">
      <c r="A174" s="710" t="s">
        <v>192</v>
      </c>
      <c r="B174" s="434">
        <v>2047</v>
      </c>
    </row>
    <row r="175" spans="1:2" ht="15.75" x14ac:dyDescent="0.25">
      <c r="A175" s="275" t="s">
        <v>193</v>
      </c>
      <c r="B175" s="194">
        <v>2047</v>
      </c>
    </row>
    <row r="176" spans="1:2" ht="15.75" x14ac:dyDescent="0.25">
      <c r="A176" s="710" t="s">
        <v>125</v>
      </c>
      <c r="B176" s="434">
        <v>24750</v>
      </c>
    </row>
    <row r="177" spans="1:2" ht="15.75" x14ac:dyDescent="0.25">
      <c r="A177" s="275" t="s">
        <v>226</v>
      </c>
      <c r="B177" s="194">
        <v>17480</v>
      </c>
    </row>
    <row r="178" spans="1:2" ht="15.75" x14ac:dyDescent="0.25">
      <c r="A178" s="275" t="s">
        <v>227</v>
      </c>
      <c r="B178" s="194">
        <v>7270</v>
      </c>
    </row>
    <row r="179" spans="1:2" ht="15.75" x14ac:dyDescent="0.25">
      <c r="A179" s="710" t="s">
        <v>126</v>
      </c>
      <c r="B179" s="434">
        <v>16031</v>
      </c>
    </row>
    <row r="180" spans="1:2" ht="15.75" x14ac:dyDescent="0.25">
      <c r="A180" s="275" t="s">
        <v>195</v>
      </c>
      <c r="B180" s="194">
        <v>9097</v>
      </c>
    </row>
    <row r="181" spans="1:2" ht="15.75" x14ac:dyDescent="0.25">
      <c r="A181" s="275" t="s">
        <v>196</v>
      </c>
      <c r="B181" s="194">
        <v>6934</v>
      </c>
    </row>
    <row r="182" spans="1:2" ht="15.75" x14ac:dyDescent="0.25">
      <c r="A182" s="710" t="s">
        <v>127</v>
      </c>
      <c r="B182" s="434">
        <v>18324</v>
      </c>
    </row>
    <row r="183" spans="1:2" ht="15.75" x14ac:dyDescent="0.25">
      <c r="A183" s="275" t="s">
        <v>345</v>
      </c>
      <c r="B183" s="194">
        <v>2923</v>
      </c>
    </row>
    <row r="184" spans="1:2" ht="15.75" x14ac:dyDescent="0.25">
      <c r="A184" s="275" t="s">
        <v>197</v>
      </c>
      <c r="B184" s="194">
        <v>15401</v>
      </c>
    </row>
    <row r="185" spans="1:2" ht="15.75" x14ac:dyDescent="0.25">
      <c r="A185" s="710" t="s">
        <v>198</v>
      </c>
      <c r="B185" s="434">
        <v>11000</v>
      </c>
    </row>
    <row r="186" spans="1:2" ht="14.45" customHeight="1" x14ac:dyDescent="0.25">
      <c r="A186" s="275" t="s">
        <v>199</v>
      </c>
      <c r="B186" s="194">
        <v>11000</v>
      </c>
    </row>
    <row r="187" spans="1:2" ht="15.75" x14ac:dyDescent="0.25">
      <c r="A187" s="710" t="s">
        <v>128</v>
      </c>
      <c r="B187" s="434">
        <v>30000</v>
      </c>
    </row>
    <row r="188" spans="1:2" ht="15.75" x14ac:dyDescent="0.25">
      <c r="A188" s="275" t="s">
        <v>200</v>
      </c>
      <c r="B188" s="194">
        <v>30000</v>
      </c>
    </row>
    <row r="189" spans="1:2" ht="15.75" x14ac:dyDescent="0.25">
      <c r="A189" s="710" t="s">
        <v>201</v>
      </c>
      <c r="B189" s="434">
        <v>687222</v>
      </c>
    </row>
    <row r="190" spans="1:2" ht="15.75" x14ac:dyDescent="0.25">
      <c r="A190" s="275" t="s">
        <v>202</v>
      </c>
      <c r="B190" s="194">
        <v>2000</v>
      </c>
    </row>
    <row r="191" spans="1:2" ht="15.75" x14ac:dyDescent="0.25">
      <c r="A191" s="275" t="s">
        <v>203</v>
      </c>
      <c r="B191" s="194">
        <v>3051</v>
      </c>
    </row>
    <row r="192" spans="1:2" ht="15.75" x14ac:dyDescent="0.25">
      <c r="A192" s="275" t="s">
        <v>204</v>
      </c>
      <c r="B192" s="194">
        <v>2561</v>
      </c>
    </row>
    <row r="193" spans="1:2" ht="15.75" x14ac:dyDescent="0.25">
      <c r="A193" s="275" t="s">
        <v>205</v>
      </c>
      <c r="B193" s="194">
        <v>108</v>
      </c>
    </row>
    <row r="194" spans="1:2" ht="31.5" x14ac:dyDescent="0.25">
      <c r="A194" s="275" t="s">
        <v>206</v>
      </c>
      <c r="B194" s="194">
        <v>2200</v>
      </c>
    </row>
    <row r="195" spans="1:2" ht="15.75" x14ac:dyDescent="0.25">
      <c r="A195" s="275" t="s">
        <v>207</v>
      </c>
      <c r="B195" s="194">
        <v>25000</v>
      </c>
    </row>
    <row r="196" spans="1:2" ht="15.75" x14ac:dyDescent="0.25">
      <c r="A196" s="275" t="s">
        <v>208</v>
      </c>
      <c r="B196" s="194">
        <v>1761</v>
      </c>
    </row>
    <row r="197" spans="1:2" ht="15.75" x14ac:dyDescent="0.25">
      <c r="A197" s="275" t="s">
        <v>209</v>
      </c>
      <c r="B197" s="194">
        <v>82</v>
      </c>
    </row>
    <row r="198" spans="1:2" ht="15.75" x14ac:dyDescent="0.25">
      <c r="A198" s="275" t="s">
        <v>210</v>
      </c>
      <c r="B198" s="194">
        <v>345</v>
      </c>
    </row>
    <row r="199" spans="1:2" ht="15.75" x14ac:dyDescent="0.25">
      <c r="A199" s="275" t="s">
        <v>211</v>
      </c>
      <c r="B199" s="194">
        <v>1100</v>
      </c>
    </row>
    <row r="200" spans="1:2" ht="15.75" x14ac:dyDescent="0.25">
      <c r="A200" s="275" t="s">
        <v>212</v>
      </c>
      <c r="B200" s="194">
        <v>220000</v>
      </c>
    </row>
    <row r="201" spans="1:2" ht="15.75" x14ac:dyDescent="0.25">
      <c r="A201" s="275" t="s">
        <v>213</v>
      </c>
      <c r="B201" s="194">
        <v>180000</v>
      </c>
    </row>
    <row r="202" spans="1:2" ht="15.75" x14ac:dyDescent="0.25">
      <c r="A202" s="275" t="s">
        <v>214</v>
      </c>
      <c r="B202" s="194">
        <v>7000</v>
      </c>
    </row>
    <row r="203" spans="1:2" ht="31.5" x14ac:dyDescent="0.25">
      <c r="A203" s="275" t="s">
        <v>215</v>
      </c>
      <c r="B203" s="194">
        <v>525</v>
      </c>
    </row>
    <row r="204" spans="1:2" ht="15.75" x14ac:dyDescent="0.25">
      <c r="A204" s="275" t="s">
        <v>281</v>
      </c>
      <c r="B204" s="194">
        <v>121690</v>
      </c>
    </row>
    <row r="205" spans="1:2" ht="15.75" x14ac:dyDescent="0.25">
      <c r="A205" s="275" t="s">
        <v>583</v>
      </c>
      <c r="B205" s="194">
        <v>16000</v>
      </c>
    </row>
    <row r="206" spans="1:2" ht="15.75" x14ac:dyDescent="0.25">
      <c r="A206" s="275" t="s">
        <v>216</v>
      </c>
      <c r="B206" s="194">
        <v>20000</v>
      </c>
    </row>
    <row r="207" spans="1:2" ht="15.75" x14ac:dyDescent="0.25">
      <c r="A207" s="275" t="s">
        <v>217</v>
      </c>
      <c r="B207" s="194">
        <v>18000</v>
      </c>
    </row>
    <row r="208" spans="1:2" ht="15.75" x14ac:dyDescent="0.25">
      <c r="A208" s="275" t="s">
        <v>218</v>
      </c>
      <c r="B208" s="194">
        <v>30000</v>
      </c>
    </row>
    <row r="209" spans="1:2" ht="15.75" x14ac:dyDescent="0.25">
      <c r="A209" s="275" t="s">
        <v>219</v>
      </c>
      <c r="B209" s="194">
        <v>10000</v>
      </c>
    </row>
    <row r="210" spans="1:2" ht="31.5" x14ac:dyDescent="0.25">
      <c r="A210" s="275" t="s">
        <v>555</v>
      </c>
      <c r="B210" s="194">
        <v>3133</v>
      </c>
    </row>
    <row r="211" spans="1:2" ht="47.25" x14ac:dyDescent="0.25">
      <c r="A211" s="275" t="s">
        <v>565</v>
      </c>
      <c r="B211" s="194">
        <v>2833</v>
      </c>
    </row>
    <row r="212" spans="1:2" ht="31.5" x14ac:dyDescent="0.25">
      <c r="A212" s="275" t="s">
        <v>566</v>
      </c>
      <c r="B212" s="194">
        <v>2833</v>
      </c>
    </row>
    <row r="213" spans="1:2" ht="15.75" x14ac:dyDescent="0.25">
      <c r="A213" s="275" t="s">
        <v>584</v>
      </c>
      <c r="B213" s="194">
        <v>1500</v>
      </c>
    </row>
    <row r="214" spans="1:2" ht="15.75" x14ac:dyDescent="0.25">
      <c r="A214" s="275" t="s">
        <v>567</v>
      </c>
      <c r="B214" s="194">
        <v>500</v>
      </c>
    </row>
    <row r="215" spans="1:2" ht="15.75" x14ac:dyDescent="0.25">
      <c r="A215" s="275" t="s">
        <v>569</v>
      </c>
      <c r="B215" s="194">
        <v>9000</v>
      </c>
    </row>
    <row r="216" spans="1:2" ht="16.5" thickBot="1" x14ac:dyDescent="0.3">
      <c r="A216" s="728" t="s">
        <v>570</v>
      </c>
      <c r="B216" s="135">
        <v>6000</v>
      </c>
    </row>
    <row r="223" spans="1:2" ht="15.75" thickBot="1" x14ac:dyDescent="0.3"/>
    <row r="224" spans="1:2" ht="16.5" thickBot="1" x14ac:dyDescent="0.3">
      <c r="A224" s="796" t="s">
        <v>24</v>
      </c>
      <c r="B224" s="798"/>
    </row>
    <row r="225" spans="1:2" x14ac:dyDescent="0.25">
      <c r="A225" s="848" t="s">
        <v>1</v>
      </c>
      <c r="B225" s="848" t="s">
        <v>323</v>
      </c>
    </row>
    <row r="226" spans="1:2" ht="15.75" thickBot="1" x14ac:dyDescent="0.3">
      <c r="A226" s="835"/>
      <c r="B226" s="835"/>
    </row>
    <row r="227" spans="1:2" ht="16.5" thickBot="1" x14ac:dyDescent="0.3">
      <c r="A227" s="711" t="s">
        <v>5</v>
      </c>
      <c r="B227" s="712">
        <f>SUM(B228:B231)</f>
        <v>3821406.51</v>
      </c>
    </row>
    <row r="228" spans="1:2" ht="15.75" x14ac:dyDescent="0.25">
      <c r="A228" s="250" t="s">
        <v>245</v>
      </c>
      <c r="B228" s="238">
        <f>1938023+365907</f>
        <v>2303930</v>
      </c>
    </row>
    <row r="229" spans="1:2" ht="15.75" x14ac:dyDescent="0.25">
      <c r="A229" s="250" t="s">
        <v>251</v>
      </c>
      <c r="B229" s="238">
        <v>120000</v>
      </c>
    </row>
    <row r="230" spans="1:2" ht="31.5" x14ac:dyDescent="0.25">
      <c r="A230" s="707" t="s">
        <v>252</v>
      </c>
      <c r="B230" s="238">
        <v>1264474</v>
      </c>
    </row>
    <row r="231" spans="1:2" ht="16.5" thickBot="1" x14ac:dyDescent="0.3">
      <c r="A231" s="331" t="s">
        <v>30</v>
      </c>
      <c r="B231" s="135">
        <v>133002.51</v>
      </c>
    </row>
    <row r="234" spans="1:2" ht="15.75" thickBot="1" x14ac:dyDescent="0.3"/>
    <row r="235" spans="1:2" ht="16.5" thickBot="1" x14ac:dyDescent="0.3">
      <c r="A235" s="796" t="s">
        <v>23</v>
      </c>
      <c r="B235" s="798"/>
    </row>
    <row r="236" spans="1:2" x14ac:dyDescent="0.25">
      <c r="A236" s="848" t="s">
        <v>1</v>
      </c>
      <c r="B236" s="848" t="s">
        <v>323</v>
      </c>
    </row>
    <row r="237" spans="1:2" ht="15.75" thickBot="1" x14ac:dyDescent="0.3">
      <c r="A237" s="835"/>
      <c r="B237" s="835"/>
    </row>
    <row r="238" spans="1:2" ht="16.5" thickBot="1" x14ac:dyDescent="0.3">
      <c r="A238" s="711" t="s">
        <v>5</v>
      </c>
      <c r="B238" s="712">
        <f>SUM(B239:B240)</f>
        <v>577184</v>
      </c>
    </row>
    <row r="239" spans="1:2" ht="15.75" x14ac:dyDescent="0.25">
      <c r="A239" s="250" t="s">
        <v>23</v>
      </c>
      <c r="B239" s="238">
        <v>577184</v>
      </c>
    </row>
    <row r="240" spans="1:2" ht="16.5" thickBot="1" x14ac:dyDescent="0.3">
      <c r="A240" s="331"/>
      <c r="B240" s="135"/>
    </row>
  </sheetData>
  <mergeCells count="27">
    <mergeCell ref="A235:B235"/>
    <mergeCell ref="A236:A237"/>
    <mergeCell ref="B236:B237"/>
    <mergeCell ref="A100:B100"/>
    <mergeCell ref="A101:A102"/>
    <mergeCell ref="B101:B102"/>
    <mergeCell ref="A224:B224"/>
    <mergeCell ref="A225:A226"/>
    <mergeCell ref="B225:B226"/>
    <mergeCell ref="A68:B68"/>
    <mergeCell ref="A69:A70"/>
    <mergeCell ref="B69:B70"/>
    <mergeCell ref="A84:B84"/>
    <mergeCell ref="A85:A86"/>
    <mergeCell ref="B85:B86"/>
    <mergeCell ref="A18:B18"/>
    <mergeCell ref="A19:A20"/>
    <mergeCell ref="B19:B20"/>
    <mergeCell ref="A57:B57"/>
    <mergeCell ref="A58:A59"/>
    <mergeCell ref="B58:B59"/>
    <mergeCell ref="A1:B1"/>
    <mergeCell ref="A2:B2"/>
    <mergeCell ref="A3:B3"/>
    <mergeCell ref="A4:B4"/>
    <mergeCell ref="A5:A6"/>
    <mergeCell ref="B5:B6"/>
  </mergeCells>
  <pageMargins left="0.70866141732283472" right="0.70866141732283472" top="0.74803149606299213" bottom="0.80572916666666672" header="0.31496062992125984" footer="0.42656250000000001"/>
  <pageSetup paperSize="9" scale="91" fitToHeight="0" orientation="portrait" r:id="rId1"/>
  <headerFooter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topLeftCell="A4" workbookViewId="0">
      <selection activeCell="D19" sqref="D19"/>
    </sheetView>
  </sheetViews>
  <sheetFormatPr baseColWidth="10" defaultColWidth="11.42578125" defaultRowHeight="15" x14ac:dyDescent="0.25"/>
  <cols>
    <col min="1" max="1" width="47.140625" customWidth="1"/>
    <col min="2" max="2" width="23.42578125" customWidth="1"/>
  </cols>
  <sheetData>
    <row r="1" spans="1:2" ht="15.75" x14ac:dyDescent="0.25">
      <c r="A1" s="796" t="s">
        <v>428</v>
      </c>
      <c r="B1" s="798"/>
    </row>
    <row r="2" spans="1:2" ht="18.75" x14ac:dyDescent="0.25">
      <c r="A2" s="839" t="s">
        <v>343</v>
      </c>
      <c r="B2" s="841"/>
    </row>
    <row r="3" spans="1:2" ht="15.75" x14ac:dyDescent="0.25">
      <c r="A3" s="842" t="s">
        <v>429</v>
      </c>
      <c r="B3" s="844"/>
    </row>
    <row r="4" spans="1:2" ht="16.5" thickBot="1" x14ac:dyDescent="0.3">
      <c r="A4" s="845" t="s">
        <v>0</v>
      </c>
      <c r="B4" s="847"/>
    </row>
    <row r="5" spans="1:2" x14ac:dyDescent="0.25">
      <c r="A5" s="848" t="s">
        <v>1</v>
      </c>
      <c r="B5" s="848" t="s">
        <v>323</v>
      </c>
    </row>
    <row r="6" spans="1:2" ht="15.75" thickBot="1" x14ac:dyDescent="0.3">
      <c r="A6" s="835"/>
      <c r="B6" s="835"/>
    </row>
    <row r="7" spans="1:2" ht="16.5" thickBot="1" x14ac:dyDescent="0.3">
      <c r="A7" s="711" t="s">
        <v>5</v>
      </c>
      <c r="B7" s="712">
        <f>SUM(B8:B14)</f>
        <v>19453754</v>
      </c>
    </row>
    <row r="8" spans="1:2" ht="15.75" x14ac:dyDescent="0.25">
      <c r="A8" s="250" t="s">
        <v>430</v>
      </c>
      <c r="B8" s="238">
        <f>395000+561365+95996+14500+26950+2059858+15000</f>
        <v>3168669</v>
      </c>
    </row>
    <row r="9" spans="1:2" ht="15.75" x14ac:dyDescent="0.25">
      <c r="A9" s="250"/>
      <c r="B9" s="238"/>
    </row>
    <row r="10" spans="1:2" ht="15.75" x14ac:dyDescent="0.25">
      <c r="A10" s="250" t="s">
        <v>431</v>
      </c>
      <c r="B10" s="238">
        <v>10785166</v>
      </c>
    </row>
    <row r="11" spans="1:2" ht="15.75" x14ac:dyDescent="0.25">
      <c r="A11" s="250"/>
      <c r="B11" s="238"/>
    </row>
    <row r="12" spans="1:2" ht="15.75" x14ac:dyDescent="0.25">
      <c r="A12" s="250" t="s">
        <v>432</v>
      </c>
      <c r="B12" s="238">
        <v>543777</v>
      </c>
    </row>
    <row r="13" spans="1:2" ht="15.75" x14ac:dyDescent="0.25">
      <c r="A13" s="187"/>
      <c r="B13" s="194"/>
    </row>
    <row r="14" spans="1:2" ht="15.75" x14ac:dyDescent="0.25">
      <c r="A14" s="187" t="s">
        <v>433</v>
      </c>
      <c r="B14" s="194">
        <f>663423+577184+3455500+365907-105872</f>
        <v>4956142</v>
      </c>
    </row>
    <row r="15" spans="1:2" ht="16.5" thickBot="1" x14ac:dyDescent="0.3">
      <c r="A15" s="331"/>
      <c r="B15" s="135"/>
    </row>
    <row r="18" spans="2:2" x14ac:dyDescent="0.25">
      <c r="B18" s="703"/>
    </row>
    <row r="186" ht="14.45" customHeight="1" x14ac:dyDescent="0.25"/>
  </sheetData>
  <mergeCells count="6">
    <mergeCell ref="A1:B1"/>
    <mergeCell ref="A2:B2"/>
    <mergeCell ref="A3:B3"/>
    <mergeCell ref="A4:B4"/>
    <mergeCell ref="A5:A6"/>
    <mergeCell ref="B5:B6"/>
  </mergeCells>
  <pageMargins left="0.70866141732283472" right="0.70866141732283472" top="0.74803149606299213" bottom="0.80572916666666672" header="0.31496062992125984" footer="0.42656250000000001"/>
  <pageSetup paperSize="9" scale="91" orientation="portrait" r:id="rId1"/>
  <headerFooter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workbookViewId="0">
      <selection activeCell="E21" sqref="E21"/>
    </sheetView>
  </sheetViews>
  <sheetFormatPr baseColWidth="10" defaultColWidth="11.42578125" defaultRowHeight="15" x14ac:dyDescent="0.25"/>
  <cols>
    <col min="1" max="1" width="49.140625" bestFit="1" customWidth="1"/>
    <col min="2" max="2" width="23.42578125" customWidth="1"/>
    <col min="4" max="4" width="11.5703125" bestFit="1" customWidth="1"/>
  </cols>
  <sheetData>
    <row r="1" spans="1:4" ht="15.75" x14ac:dyDescent="0.25">
      <c r="A1" s="796" t="s">
        <v>434</v>
      </c>
      <c r="B1" s="798"/>
    </row>
    <row r="2" spans="1:4" ht="18.75" x14ac:dyDescent="0.25">
      <c r="A2" s="839" t="s">
        <v>343</v>
      </c>
      <c r="B2" s="841"/>
    </row>
    <row r="3" spans="1:4" ht="15.75" x14ac:dyDescent="0.25">
      <c r="A3" s="842" t="s">
        <v>435</v>
      </c>
      <c r="B3" s="844"/>
    </row>
    <row r="4" spans="1:4" ht="16.5" thickBot="1" x14ac:dyDescent="0.3">
      <c r="A4" s="845" t="s">
        <v>0</v>
      </c>
      <c r="B4" s="847"/>
    </row>
    <row r="5" spans="1:4" x14ac:dyDescent="0.25">
      <c r="A5" s="848" t="s">
        <v>1</v>
      </c>
      <c r="B5" s="848" t="s">
        <v>323</v>
      </c>
    </row>
    <row r="6" spans="1:4" ht="15.75" thickBot="1" x14ac:dyDescent="0.3">
      <c r="A6" s="835"/>
      <c r="B6" s="835"/>
    </row>
    <row r="7" spans="1:4" ht="16.5" thickBot="1" x14ac:dyDescent="0.3">
      <c r="A7" s="711" t="s">
        <v>5</v>
      </c>
      <c r="B7" s="712">
        <f>SUM(B8:B12)</f>
        <v>19453754</v>
      </c>
    </row>
    <row r="8" spans="1:4" ht="15.75" x14ac:dyDescent="0.25">
      <c r="A8" s="250" t="s">
        <v>15</v>
      </c>
      <c r="B8" s="238">
        <v>17938900</v>
      </c>
      <c r="D8" s="703"/>
    </row>
    <row r="9" spans="1:4" ht="15.75" x14ac:dyDescent="0.25">
      <c r="A9" s="250"/>
      <c r="B9" s="238"/>
    </row>
    <row r="10" spans="1:4" ht="15.75" x14ac:dyDescent="0.25">
      <c r="A10" s="250" t="s">
        <v>17</v>
      </c>
      <c r="B10" s="238">
        <v>937670</v>
      </c>
    </row>
    <row r="11" spans="1:4" ht="15.75" x14ac:dyDescent="0.25">
      <c r="A11" s="250"/>
      <c r="B11" s="238"/>
    </row>
    <row r="12" spans="1:4" ht="15.75" x14ac:dyDescent="0.25">
      <c r="A12" s="250" t="s">
        <v>436</v>
      </c>
      <c r="B12" s="238">
        <v>577184</v>
      </c>
    </row>
    <row r="13" spans="1:4" ht="16.5" thickBot="1" x14ac:dyDescent="0.3">
      <c r="A13" s="331"/>
      <c r="B13" s="135"/>
    </row>
    <row r="186" ht="14.45" customHeight="1" x14ac:dyDescent="0.25"/>
  </sheetData>
  <mergeCells count="6">
    <mergeCell ref="A1:B1"/>
    <mergeCell ref="A2:B2"/>
    <mergeCell ref="A3:B3"/>
    <mergeCell ref="A4:B4"/>
    <mergeCell ref="A5:A6"/>
    <mergeCell ref="B5:B6"/>
  </mergeCells>
  <printOptions horizontalCentered="1"/>
  <pageMargins left="0.70866141732283472" right="0.70866141732283472" top="0.74803149606299213" bottom="0.78740157480314965" header="0.31496062992125984" footer="0.43307086614173229"/>
  <pageSetup paperSize="9" scale="91" orientation="portrait" r:id="rId1"/>
  <headerFooter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A10" zoomScale="85" zoomScaleNormal="85" workbookViewId="0">
      <selection activeCell="F19" sqref="F19"/>
    </sheetView>
  </sheetViews>
  <sheetFormatPr baseColWidth="10" defaultRowHeight="15" x14ac:dyDescent="0.25"/>
  <cols>
    <col min="1" max="1" width="52.85546875" customWidth="1"/>
    <col min="2" max="2" width="25" customWidth="1"/>
    <col min="3" max="3" width="11.42578125" customWidth="1"/>
    <col min="4" max="4" width="9.7109375" customWidth="1"/>
    <col min="5" max="5" width="11.28515625" bestFit="1" customWidth="1"/>
    <col min="7" max="7" width="11.5703125" bestFit="1" customWidth="1"/>
    <col min="14" max="14" width="8.85546875" customWidth="1"/>
  </cols>
  <sheetData>
    <row r="1" spans="1:6" ht="15.75" x14ac:dyDescent="0.25">
      <c r="A1" s="796" t="s">
        <v>531</v>
      </c>
      <c r="B1" s="797"/>
      <c r="C1" s="797"/>
    </row>
    <row r="2" spans="1:6" ht="18.75" customHeight="1" x14ac:dyDescent="0.25">
      <c r="A2" s="876" t="s">
        <v>551</v>
      </c>
      <c r="B2" s="877"/>
      <c r="C2" s="877"/>
      <c r="D2" s="265"/>
      <c r="E2" s="265"/>
      <c r="F2" s="266"/>
    </row>
    <row r="3" spans="1:6" ht="18.75" customHeight="1" x14ac:dyDescent="0.25">
      <c r="A3" s="876"/>
      <c r="B3" s="877"/>
      <c r="C3" s="877"/>
      <c r="D3" s="265"/>
      <c r="E3" s="265"/>
      <c r="F3" s="266"/>
    </row>
    <row r="4" spans="1:6" ht="15.75" thickBot="1" x14ac:dyDescent="0.3">
      <c r="A4" s="851" t="s">
        <v>0</v>
      </c>
      <c r="B4" s="852"/>
      <c r="C4" s="852"/>
      <c r="D4" s="265"/>
      <c r="E4" s="265"/>
      <c r="F4" s="266"/>
    </row>
    <row r="5" spans="1:6" ht="16.5" customHeight="1" thickBot="1" x14ac:dyDescent="0.3">
      <c r="A5" s="661" t="s">
        <v>533</v>
      </c>
      <c r="B5" s="661" t="s">
        <v>535</v>
      </c>
      <c r="C5" s="713" t="s">
        <v>532</v>
      </c>
      <c r="D5" s="267"/>
      <c r="E5" s="267"/>
    </row>
    <row r="6" spans="1:6" ht="15.75" x14ac:dyDescent="0.25">
      <c r="A6" s="732" t="s">
        <v>31</v>
      </c>
      <c r="B6" s="733"/>
      <c r="C6" s="734">
        <f>C7+C14+C17+C23+C36+C59+C72+C74+C81+C83+C85</f>
        <v>101500</v>
      </c>
      <c r="D6" s="267"/>
      <c r="E6" s="491"/>
    </row>
    <row r="7" spans="1:6" s="18" customFormat="1" ht="15.75" x14ac:dyDescent="0.25">
      <c r="A7" s="601" t="s">
        <v>114</v>
      </c>
      <c r="B7" s="714"/>
      <c r="C7" s="603">
        <f>SUM(C8:C13)</f>
        <v>6000</v>
      </c>
      <c r="D7" s="274"/>
      <c r="E7" s="274"/>
    </row>
    <row r="8" spans="1:6" ht="15.75" x14ac:dyDescent="0.25">
      <c r="A8" s="275" t="s">
        <v>538</v>
      </c>
      <c r="B8" s="715" t="s">
        <v>471</v>
      </c>
      <c r="C8" s="278">
        <v>1033</v>
      </c>
      <c r="D8" s="279"/>
      <c r="E8" s="279"/>
    </row>
    <row r="9" spans="1:6" ht="15.75" x14ac:dyDescent="0.25">
      <c r="A9" s="275" t="s">
        <v>461</v>
      </c>
      <c r="B9" s="715" t="s">
        <v>440</v>
      </c>
      <c r="C9" s="278">
        <v>1000</v>
      </c>
      <c r="D9" s="279"/>
      <c r="E9" s="279"/>
    </row>
    <row r="10" spans="1:6" ht="31.5" x14ac:dyDescent="0.25">
      <c r="A10" s="275" t="s">
        <v>534</v>
      </c>
      <c r="B10" s="715" t="s">
        <v>474</v>
      </c>
      <c r="C10" s="278">
        <v>500</v>
      </c>
      <c r="D10" s="279"/>
      <c r="E10" s="279"/>
    </row>
    <row r="11" spans="1:6" ht="15.75" x14ac:dyDescent="0.25">
      <c r="A11" s="275" t="s">
        <v>460</v>
      </c>
      <c r="B11" s="715" t="s">
        <v>474</v>
      </c>
      <c r="C11" s="278">
        <v>633</v>
      </c>
      <c r="D11" s="279"/>
      <c r="E11" s="279"/>
    </row>
    <row r="12" spans="1:6" ht="15.75" x14ac:dyDescent="0.25">
      <c r="A12" s="275" t="s">
        <v>516</v>
      </c>
      <c r="B12" s="715" t="s">
        <v>471</v>
      </c>
      <c r="C12" s="278">
        <v>1417</v>
      </c>
      <c r="D12" s="279"/>
      <c r="E12" s="279"/>
    </row>
    <row r="13" spans="1:6" ht="15.75" x14ac:dyDescent="0.25">
      <c r="A13" s="275" t="s">
        <v>517</v>
      </c>
      <c r="B13" s="715" t="s">
        <v>471</v>
      </c>
      <c r="C13" s="278">
        <v>1417</v>
      </c>
      <c r="D13" s="279"/>
      <c r="E13" s="279"/>
    </row>
    <row r="14" spans="1:6" s="18" customFormat="1" ht="15.75" x14ac:dyDescent="0.25">
      <c r="A14" s="601" t="s">
        <v>182</v>
      </c>
      <c r="B14" s="714"/>
      <c r="C14" s="603">
        <f>SUM(C15:C16)</f>
        <v>5666</v>
      </c>
      <c r="D14" s="274"/>
      <c r="E14" s="274"/>
    </row>
    <row r="15" spans="1:6" ht="31.5" x14ac:dyDescent="0.25">
      <c r="A15" s="275" t="s">
        <v>539</v>
      </c>
      <c r="B15" s="715" t="s">
        <v>475</v>
      </c>
      <c r="C15" s="278">
        <v>2833</v>
      </c>
      <c r="D15" s="279"/>
      <c r="E15" s="279"/>
    </row>
    <row r="16" spans="1:6" ht="47.25" x14ac:dyDescent="0.25">
      <c r="A16" s="275" t="s">
        <v>476</v>
      </c>
      <c r="B16" s="715" t="s">
        <v>477</v>
      </c>
      <c r="C16" s="278">
        <v>2833</v>
      </c>
      <c r="D16" s="279"/>
      <c r="E16" s="279"/>
    </row>
    <row r="17" spans="1:5" s="18" customFormat="1" ht="15.75" x14ac:dyDescent="0.25">
      <c r="A17" s="601" t="s">
        <v>472</v>
      </c>
      <c r="B17" s="714"/>
      <c r="C17" s="603">
        <f>SUM(C18:C22)</f>
        <v>6616</v>
      </c>
      <c r="D17" s="274"/>
      <c r="E17" s="274"/>
    </row>
    <row r="18" spans="1:5" s="18" customFormat="1" ht="31.5" x14ac:dyDescent="0.25">
      <c r="A18" s="718" t="s">
        <v>473</v>
      </c>
      <c r="B18" s="716" t="s">
        <v>474</v>
      </c>
      <c r="C18" s="719">
        <v>2833</v>
      </c>
      <c r="D18" s="274"/>
      <c r="E18" s="274"/>
    </row>
    <row r="19" spans="1:5" ht="15.75" x14ac:dyDescent="0.25">
      <c r="A19" s="201" t="s">
        <v>478</v>
      </c>
      <c r="B19" s="716" t="s">
        <v>479</v>
      </c>
      <c r="C19" s="719">
        <v>1500</v>
      </c>
      <c r="D19" s="274"/>
      <c r="E19" s="274"/>
    </row>
    <row r="20" spans="1:5" ht="31.5" x14ac:dyDescent="0.25">
      <c r="A20" s="718" t="s">
        <v>502</v>
      </c>
      <c r="B20" s="716" t="s">
        <v>475</v>
      </c>
      <c r="C20" s="719">
        <v>500</v>
      </c>
      <c r="D20" s="274"/>
      <c r="E20" s="274"/>
    </row>
    <row r="21" spans="1:5" ht="15.75" x14ac:dyDescent="0.25">
      <c r="A21" s="201" t="s">
        <v>522</v>
      </c>
      <c r="B21" s="716" t="s">
        <v>495</v>
      </c>
      <c r="C21" s="719">
        <v>783</v>
      </c>
      <c r="D21" s="274"/>
      <c r="E21" s="274"/>
    </row>
    <row r="22" spans="1:5" ht="15.75" x14ac:dyDescent="0.25">
      <c r="A22" s="201" t="s">
        <v>523</v>
      </c>
      <c r="B22" s="716" t="s">
        <v>471</v>
      </c>
      <c r="C22" s="719">
        <v>1000</v>
      </c>
      <c r="D22" s="274"/>
      <c r="E22" s="274"/>
    </row>
    <row r="23" spans="1:5" ht="15.75" x14ac:dyDescent="0.25">
      <c r="A23" s="601" t="s">
        <v>186</v>
      </c>
      <c r="B23" s="714"/>
      <c r="C23" s="603">
        <f>SUM(C24:C35)</f>
        <v>6332</v>
      </c>
      <c r="D23" s="279"/>
      <c r="E23" s="279"/>
    </row>
    <row r="24" spans="1:5" ht="15.75" x14ac:dyDescent="0.25">
      <c r="A24" s="275" t="s">
        <v>174</v>
      </c>
      <c r="B24" s="715" t="s">
        <v>471</v>
      </c>
      <c r="C24" s="719">
        <f>800+200</f>
        <v>1000</v>
      </c>
      <c r="D24" s="279"/>
      <c r="E24" s="279"/>
    </row>
    <row r="25" spans="1:5" ht="15.75" x14ac:dyDescent="0.25">
      <c r="A25" s="275" t="s">
        <v>540</v>
      </c>
      <c r="B25" s="715" t="s">
        <v>467</v>
      </c>
      <c r="C25" s="278">
        <v>550</v>
      </c>
      <c r="D25" s="279"/>
      <c r="E25" s="279"/>
    </row>
    <row r="26" spans="1:5" ht="15.75" x14ac:dyDescent="0.25">
      <c r="A26" s="275" t="s">
        <v>547</v>
      </c>
      <c r="B26" s="715" t="s">
        <v>465</v>
      </c>
      <c r="C26" s="278">
        <v>550</v>
      </c>
      <c r="D26" s="279"/>
      <c r="E26" s="279"/>
    </row>
    <row r="27" spans="1:5" ht="15.75" x14ac:dyDescent="0.25">
      <c r="A27" s="275" t="s">
        <v>541</v>
      </c>
      <c r="B27" s="715" t="s">
        <v>479</v>
      </c>
      <c r="C27" s="278">
        <v>100</v>
      </c>
      <c r="D27" s="279"/>
      <c r="E27" s="279"/>
    </row>
    <row r="28" spans="1:5" ht="15.75" x14ac:dyDescent="0.25">
      <c r="A28" s="275" t="s">
        <v>541</v>
      </c>
      <c r="B28" s="715" t="s">
        <v>448</v>
      </c>
      <c r="C28" s="278">
        <v>100</v>
      </c>
      <c r="D28" s="279"/>
      <c r="E28" s="279"/>
    </row>
    <row r="29" spans="1:5" ht="31.5" x14ac:dyDescent="0.25">
      <c r="A29" s="275" t="s">
        <v>499</v>
      </c>
      <c r="B29" s="715" t="s">
        <v>475</v>
      </c>
      <c r="C29" s="278">
        <v>400</v>
      </c>
      <c r="D29" s="279"/>
      <c r="E29" s="279"/>
    </row>
    <row r="30" spans="1:5" ht="31.5" x14ac:dyDescent="0.25">
      <c r="A30" s="275" t="s">
        <v>500</v>
      </c>
      <c r="B30" s="715" t="s">
        <v>475</v>
      </c>
      <c r="C30" s="278">
        <v>283</v>
      </c>
      <c r="D30" s="279"/>
      <c r="E30" s="279"/>
    </row>
    <row r="31" spans="1:5" ht="31.5" x14ac:dyDescent="0.25">
      <c r="A31" s="275" t="s">
        <v>501</v>
      </c>
      <c r="B31" s="715" t="s">
        <v>475</v>
      </c>
      <c r="C31" s="278">
        <v>150</v>
      </c>
      <c r="D31" s="279"/>
      <c r="E31" s="279"/>
    </row>
    <row r="32" spans="1:5" ht="31.5" x14ac:dyDescent="0.25">
      <c r="A32" s="275" t="s">
        <v>513</v>
      </c>
      <c r="B32" s="715" t="s">
        <v>450</v>
      </c>
      <c r="C32" s="278">
        <v>1000</v>
      </c>
      <c r="D32" s="279"/>
      <c r="E32" s="279"/>
    </row>
    <row r="33" spans="1:5" ht="31.5" x14ac:dyDescent="0.25">
      <c r="A33" s="275" t="s">
        <v>545</v>
      </c>
      <c r="B33" s="715" t="s">
        <v>514</v>
      </c>
      <c r="C33" s="278">
        <f>500+333</f>
        <v>833</v>
      </c>
      <c r="D33" s="279"/>
      <c r="E33" s="279"/>
    </row>
    <row r="34" spans="1:5" ht="15.75" x14ac:dyDescent="0.25">
      <c r="A34" s="275" t="s">
        <v>515</v>
      </c>
      <c r="B34" s="715" t="s">
        <v>450</v>
      </c>
      <c r="C34" s="278">
        <v>333</v>
      </c>
      <c r="D34" s="279"/>
      <c r="E34" s="279"/>
    </row>
    <row r="35" spans="1:5" ht="31.5" x14ac:dyDescent="0.25">
      <c r="A35" s="275" t="s">
        <v>542</v>
      </c>
      <c r="B35" s="715" t="s">
        <v>520</v>
      </c>
      <c r="C35" s="278">
        <v>1033</v>
      </c>
      <c r="D35" s="279"/>
      <c r="E35" s="279"/>
    </row>
    <row r="36" spans="1:5" ht="15.75" x14ac:dyDescent="0.25">
      <c r="A36" s="601" t="s">
        <v>187</v>
      </c>
      <c r="B36" s="714"/>
      <c r="C36" s="603">
        <f>SUM(C37:C58)</f>
        <v>16648</v>
      </c>
      <c r="D36" s="279"/>
      <c r="E36" s="279"/>
    </row>
    <row r="37" spans="1:5" ht="45" x14ac:dyDescent="0.25">
      <c r="A37" s="275" t="s">
        <v>464</v>
      </c>
      <c r="B37" s="735" t="s">
        <v>546</v>
      </c>
      <c r="C37" s="278">
        <v>1333</v>
      </c>
      <c r="D37" s="279"/>
    </row>
    <row r="38" spans="1:5" ht="31.5" x14ac:dyDescent="0.25">
      <c r="A38" s="275" t="s">
        <v>468</v>
      </c>
      <c r="B38" s="715" t="s">
        <v>465</v>
      </c>
      <c r="C38" s="278">
        <v>867</v>
      </c>
      <c r="D38" s="279"/>
    </row>
    <row r="39" spans="1:5" ht="15.75" x14ac:dyDescent="0.25">
      <c r="A39" s="275" t="s">
        <v>466</v>
      </c>
      <c r="B39" s="715" t="s">
        <v>467</v>
      </c>
      <c r="C39" s="278">
        <v>866</v>
      </c>
      <c r="D39" s="279"/>
    </row>
    <row r="40" spans="1:5" ht="15.75" x14ac:dyDescent="0.25">
      <c r="A40" s="275" t="s">
        <v>480</v>
      </c>
      <c r="B40" s="715" t="s">
        <v>479</v>
      </c>
      <c r="C40" s="278">
        <v>200</v>
      </c>
      <c r="D40" s="279"/>
    </row>
    <row r="41" spans="1:5" ht="31.5" x14ac:dyDescent="0.25">
      <c r="A41" s="275" t="s">
        <v>481</v>
      </c>
      <c r="B41" s="715" t="s">
        <v>479</v>
      </c>
      <c r="C41" s="278">
        <v>200</v>
      </c>
      <c r="D41" s="279"/>
    </row>
    <row r="42" spans="1:5" ht="15.75" customHeight="1" x14ac:dyDescent="0.25">
      <c r="A42" s="275" t="s">
        <v>482</v>
      </c>
      <c r="B42" s="715" t="s">
        <v>479</v>
      </c>
      <c r="C42" s="278">
        <v>233</v>
      </c>
      <c r="D42" s="279"/>
    </row>
    <row r="43" spans="1:5" ht="30" customHeight="1" x14ac:dyDescent="0.25">
      <c r="A43" s="275" t="s">
        <v>483</v>
      </c>
      <c r="B43" s="715" t="s">
        <v>448</v>
      </c>
      <c r="C43" s="278">
        <v>200</v>
      </c>
      <c r="D43" s="279"/>
    </row>
    <row r="44" spans="1:5" ht="15.75" x14ac:dyDescent="0.25">
      <c r="A44" s="275" t="s">
        <v>485</v>
      </c>
      <c r="B44" s="715" t="s">
        <v>486</v>
      </c>
      <c r="C44" s="278">
        <f>2833+200</f>
        <v>3033</v>
      </c>
      <c r="D44" s="279"/>
    </row>
    <row r="45" spans="1:5" ht="15.75" customHeight="1" x14ac:dyDescent="0.25">
      <c r="A45" s="275" t="s">
        <v>491</v>
      </c>
      <c r="B45" s="715" t="s">
        <v>490</v>
      </c>
      <c r="C45" s="278">
        <v>700</v>
      </c>
      <c r="D45" s="279"/>
    </row>
    <row r="46" spans="1:5" ht="15.75" customHeight="1" x14ac:dyDescent="0.25">
      <c r="A46" s="275" t="s">
        <v>492</v>
      </c>
      <c r="B46" s="715" t="s">
        <v>493</v>
      </c>
      <c r="C46" s="278">
        <v>700</v>
      </c>
      <c r="D46" s="279"/>
    </row>
    <row r="47" spans="1:5" ht="15.75" customHeight="1" x14ac:dyDescent="0.25">
      <c r="A47" s="275" t="s">
        <v>494</v>
      </c>
      <c r="B47" s="715" t="s">
        <v>495</v>
      </c>
      <c r="C47" s="278">
        <v>700</v>
      </c>
      <c r="D47" s="279"/>
    </row>
    <row r="48" spans="1:5" ht="15.75" x14ac:dyDescent="0.25">
      <c r="A48" s="275" t="s">
        <v>497</v>
      </c>
      <c r="B48" s="715" t="s">
        <v>496</v>
      </c>
      <c r="C48" s="278">
        <v>733</v>
      </c>
      <c r="D48" s="279"/>
    </row>
    <row r="49" spans="1:8" ht="31.5" x14ac:dyDescent="0.25">
      <c r="A49" s="275" t="s">
        <v>503</v>
      </c>
      <c r="B49" s="715" t="s">
        <v>475</v>
      </c>
      <c r="C49" s="278">
        <v>500</v>
      </c>
      <c r="D49" s="279"/>
    </row>
    <row r="50" spans="1:8" s="282" customFormat="1" ht="31.5" x14ac:dyDescent="0.25">
      <c r="A50" s="275" t="s">
        <v>511</v>
      </c>
      <c r="B50" s="715" t="s">
        <v>450</v>
      </c>
      <c r="C50" s="278">
        <v>300</v>
      </c>
      <c r="D50" s="279"/>
      <c r="F50"/>
      <c r="G50"/>
      <c r="H50"/>
    </row>
    <row r="51" spans="1:8" ht="31.5" x14ac:dyDescent="0.25">
      <c r="A51" s="275" t="s">
        <v>512</v>
      </c>
      <c r="B51" s="715" t="s">
        <v>450</v>
      </c>
      <c r="C51" s="278">
        <v>700</v>
      </c>
      <c r="D51" s="279"/>
      <c r="F51" s="282"/>
      <c r="G51" s="282"/>
      <c r="H51" s="282"/>
    </row>
    <row r="52" spans="1:8" ht="15.75" x14ac:dyDescent="0.25">
      <c r="A52" s="275" t="s">
        <v>518</v>
      </c>
      <c r="B52" s="715" t="s">
        <v>514</v>
      </c>
      <c r="C52" s="278">
        <v>1000</v>
      </c>
      <c r="D52" s="279"/>
      <c r="F52" s="282"/>
      <c r="G52" s="282"/>
      <c r="H52" s="282"/>
    </row>
    <row r="53" spans="1:8" ht="15.75" x14ac:dyDescent="0.25">
      <c r="A53" s="275" t="s">
        <v>524</v>
      </c>
      <c r="B53" s="715"/>
      <c r="C53" s="719">
        <v>50</v>
      </c>
      <c r="D53" s="279"/>
      <c r="F53" s="282"/>
      <c r="G53" s="282"/>
      <c r="H53" s="282"/>
    </row>
    <row r="54" spans="1:8" ht="31.5" x14ac:dyDescent="0.25">
      <c r="A54" s="275" t="s">
        <v>525</v>
      </c>
      <c r="B54" s="715" t="s">
        <v>520</v>
      </c>
      <c r="C54" s="278">
        <v>944</v>
      </c>
      <c r="D54" s="279"/>
      <c r="F54" s="282"/>
      <c r="G54" s="282"/>
      <c r="H54" s="282"/>
    </row>
    <row r="55" spans="1:8" ht="31.5" x14ac:dyDescent="0.25">
      <c r="A55" s="275" t="s">
        <v>526</v>
      </c>
      <c r="B55" s="715" t="s">
        <v>520</v>
      </c>
      <c r="C55" s="278">
        <v>944</v>
      </c>
      <c r="D55" s="279"/>
      <c r="F55" s="282"/>
      <c r="G55" s="282"/>
      <c r="H55" s="282"/>
    </row>
    <row r="56" spans="1:8" ht="31.5" x14ac:dyDescent="0.25">
      <c r="A56" s="275" t="s">
        <v>527</v>
      </c>
      <c r="B56" s="715" t="s">
        <v>520</v>
      </c>
      <c r="C56" s="278">
        <v>945</v>
      </c>
      <c r="D56" s="279"/>
      <c r="F56" s="282"/>
      <c r="G56" s="282"/>
      <c r="H56" s="282"/>
    </row>
    <row r="57" spans="1:8" ht="15.75" x14ac:dyDescent="0.25">
      <c r="A57" s="275" t="s">
        <v>528</v>
      </c>
      <c r="B57" s="715" t="s">
        <v>529</v>
      </c>
      <c r="C57" s="278">
        <v>750</v>
      </c>
      <c r="D57" s="279"/>
      <c r="F57" s="282"/>
      <c r="G57" s="282"/>
      <c r="H57" s="282"/>
    </row>
    <row r="58" spans="1:8" ht="15.75" x14ac:dyDescent="0.25">
      <c r="A58" s="275" t="s">
        <v>530</v>
      </c>
      <c r="B58" s="715" t="s">
        <v>529</v>
      </c>
      <c r="C58" s="278">
        <v>750</v>
      </c>
      <c r="D58" s="279"/>
      <c r="F58" s="282"/>
      <c r="G58" s="282"/>
      <c r="H58" s="282"/>
    </row>
    <row r="59" spans="1:8" ht="15.75" customHeight="1" x14ac:dyDescent="0.25">
      <c r="A59" s="601" t="s">
        <v>188</v>
      </c>
      <c r="B59" s="714"/>
      <c r="C59" s="603">
        <f>SUM(C60:C71)</f>
        <v>4642</v>
      </c>
      <c r="D59" s="279"/>
    </row>
    <row r="60" spans="1:8" ht="15.75" customHeight="1" x14ac:dyDescent="0.25">
      <c r="A60" s="275" t="s">
        <v>439</v>
      </c>
      <c r="B60" s="715" t="s">
        <v>440</v>
      </c>
      <c r="C60" s="278">
        <v>482</v>
      </c>
      <c r="D60" s="279"/>
      <c r="E60" s="279"/>
    </row>
    <row r="61" spans="1:8" ht="15.75" customHeight="1" x14ac:dyDescent="0.25">
      <c r="A61" s="275" t="s">
        <v>441</v>
      </c>
      <c r="B61" s="715" t="s">
        <v>442</v>
      </c>
      <c r="C61" s="278">
        <v>450</v>
      </c>
      <c r="D61" s="279"/>
      <c r="E61" s="279"/>
    </row>
    <row r="62" spans="1:8" ht="15.75" customHeight="1" x14ac:dyDescent="0.25">
      <c r="A62" s="275" t="s">
        <v>443</v>
      </c>
      <c r="B62" s="715" t="s">
        <v>444</v>
      </c>
      <c r="C62" s="278">
        <v>450</v>
      </c>
      <c r="D62" s="279"/>
      <c r="E62" s="279"/>
    </row>
    <row r="63" spans="1:8" ht="15.75" customHeight="1" x14ac:dyDescent="0.25">
      <c r="A63" s="275" t="s">
        <v>445</v>
      </c>
      <c r="B63" s="715" t="s">
        <v>446</v>
      </c>
      <c r="C63" s="278">
        <v>450</v>
      </c>
      <c r="D63" s="279"/>
      <c r="E63" s="279"/>
    </row>
    <row r="64" spans="1:8" ht="15.75" customHeight="1" x14ac:dyDescent="0.25">
      <c r="A64" s="275" t="s">
        <v>447</v>
      </c>
      <c r="B64" s="715" t="s">
        <v>448</v>
      </c>
      <c r="C64" s="278">
        <v>450</v>
      </c>
      <c r="D64" s="279"/>
      <c r="E64" s="279"/>
    </row>
    <row r="65" spans="1:5" ht="15.75" customHeight="1" x14ac:dyDescent="0.25">
      <c r="A65" s="275" t="s">
        <v>449</v>
      </c>
      <c r="B65" s="715" t="s">
        <v>450</v>
      </c>
      <c r="C65" s="278">
        <v>200</v>
      </c>
      <c r="D65" s="279"/>
      <c r="E65" s="279"/>
    </row>
    <row r="66" spans="1:5" ht="15.75" customHeight="1" x14ac:dyDescent="0.25">
      <c r="A66" s="275" t="s">
        <v>451</v>
      </c>
      <c r="B66" s="715" t="s">
        <v>452</v>
      </c>
      <c r="C66" s="278">
        <v>200</v>
      </c>
      <c r="D66" s="279"/>
      <c r="E66" s="279"/>
    </row>
    <row r="67" spans="1:5" ht="15.75" customHeight="1" x14ac:dyDescent="0.25">
      <c r="A67" s="275" t="s">
        <v>453</v>
      </c>
      <c r="B67" s="715" t="s">
        <v>454</v>
      </c>
      <c r="C67" s="278">
        <v>400</v>
      </c>
      <c r="D67" s="279"/>
      <c r="E67" s="279"/>
    </row>
    <row r="68" spans="1:5" ht="34.5" customHeight="1" x14ac:dyDescent="0.25">
      <c r="A68" s="275" t="s">
        <v>455</v>
      </c>
      <c r="B68" s="715"/>
      <c r="C68" s="278">
        <v>450</v>
      </c>
      <c r="D68" s="279"/>
      <c r="E68" s="279"/>
    </row>
    <row r="69" spans="1:5" ht="34.5" customHeight="1" x14ac:dyDescent="0.25">
      <c r="A69" s="275" t="s">
        <v>456</v>
      </c>
      <c r="B69" s="715"/>
      <c r="C69" s="278">
        <v>200</v>
      </c>
      <c r="D69" s="279"/>
      <c r="E69" s="279"/>
    </row>
    <row r="70" spans="1:5" ht="15.75" customHeight="1" x14ac:dyDescent="0.25">
      <c r="A70" s="275" t="s">
        <v>457</v>
      </c>
      <c r="B70" s="715"/>
      <c r="C70" s="278">
        <v>450</v>
      </c>
      <c r="D70" s="279"/>
      <c r="E70" s="279"/>
    </row>
    <row r="71" spans="1:5" ht="33.75" customHeight="1" x14ac:dyDescent="0.25">
      <c r="A71" s="275" t="s">
        <v>458</v>
      </c>
      <c r="B71" s="715" t="s">
        <v>452</v>
      </c>
      <c r="C71" s="278">
        <v>460</v>
      </c>
      <c r="D71" s="279"/>
      <c r="E71" s="279"/>
    </row>
    <row r="72" spans="1:5" ht="15.75" x14ac:dyDescent="0.25">
      <c r="A72" s="604" t="s">
        <v>125</v>
      </c>
      <c r="B72" s="717"/>
      <c r="C72" s="603">
        <f>SUM(C73:C73)</f>
        <v>1000</v>
      </c>
      <c r="D72" s="279"/>
      <c r="E72" s="279"/>
    </row>
    <row r="73" spans="1:5" ht="47.25" x14ac:dyDescent="0.25">
      <c r="A73" s="275" t="s">
        <v>498</v>
      </c>
      <c r="B73" s="715" t="s">
        <v>475</v>
      </c>
      <c r="C73" s="278">
        <v>1000</v>
      </c>
      <c r="D73" s="279"/>
      <c r="E73" s="279"/>
    </row>
    <row r="74" spans="1:5" ht="15.75" x14ac:dyDescent="0.25">
      <c r="A74" s="604" t="s">
        <v>127</v>
      </c>
      <c r="B74" s="717"/>
      <c r="C74" s="603">
        <f>SUM(C75:C80)</f>
        <v>5466</v>
      </c>
      <c r="D74" s="279"/>
      <c r="E74" s="274"/>
    </row>
    <row r="75" spans="1:5" ht="45" x14ac:dyDescent="0.25">
      <c r="A75" s="275" t="s">
        <v>462</v>
      </c>
      <c r="B75" s="735" t="s">
        <v>463</v>
      </c>
      <c r="C75" s="278">
        <v>500</v>
      </c>
      <c r="D75" s="279"/>
      <c r="E75" s="279"/>
    </row>
    <row r="76" spans="1:5" ht="15.75" x14ac:dyDescent="0.25">
      <c r="A76" s="275" t="s">
        <v>470</v>
      </c>
      <c r="B76" s="715" t="s">
        <v>471</v>
      </c>
      <c r="C76" s="278">
        <v>833</v>
      </c>
      <c r="D76" s="279"/>
      <c r="E76" s="279"/>
    </row>
    <row r="77" spans="1:5" ht="15.75" x14ac:dyDescent="0.25">
      <c r="A77" s="275" t="s">
        <v>484</v>
      </c>
      <c r="B77" s="715" t="s">
        <v>479</v>
      </c>
      <c r="C77" s="278">
        <v>300</v>
      </c>
      <c r="D77" s="279"/>
      <c r="E77" s="279"/>
    </row>
    <row r="78" spans="1:5" ht="15.75" x14ac:dyDescent="0.25">
      <c r="A78" s="275" t="s">
        <v>504</v>
      </c>
      <c r="B78" s="715" t="s">
        <v>471</v>
      </c>
      <c r="C78" s="278">
        <v>1000</v>
      </c>
      <c r="D78" s="279"/>
      <c r="E78" s="279"/>
    </row>
    <row r="79" spans="1:5" ht="15.75" x14ac:dyDescent="0.25">
      <c r="A79" s="275" t="s">
        <v>508</v>
      </c>
      <c r="B79" s="715" t="s">
        <v>471</v>
      </c>
      <c r="C79" s="278">
        <v>2124</v>
      </c>
      <c r="D79" s="279"/>
      <c r="E79" s="279"/>
    </row>
    <row r="80" spans="1:5" ht="31.5" x14ac:dyDescent="0.25">
      <c r="A80" s="275" t="s">
        <v>509</v>
      </c>
      <c r="B80" s="715" t="s">
        <v>471</v>
      </c>
      <c r="C80" s="278">
        <v>709</v>
      </c>
      <c r="D80" s="279"/>
      <c r="E80" s="279"/>
    </row>
    <row r="81" spans="1:7" ht="15.75" x14ac:dyDescent="0.25">
      <c r="A81" s="604" t="s">
        <v>128</v>
      </c>
      <c r="B81" s="717"/>
      <c r="C81" s="603">
        <f>C82</f>
        <v>2000</v>
      </c>
      <c r="D81" s="279"/>
      <c r="E81" s="279"/>
    </row>
    <row r="82" spans="1:7" ht="15.75" x14ac:dyDescent="0.25">
      <c r="A82" s="275" t="s">
        <v>469</v>
      </c>
      <c r="B82" s="715" t="s">
        <v>471</v>
      </c>
      <c r="C82" s="278">
        <v>2000</v>
      </c>
      <c r="D82" s="279"/>
      <c r="E82" s="279"/>
    </row>
    <row r="83" spans="1:7" ht="15.75" x14ac:dyDescent="0.25">
      <c r="A83" s="604" t="s">
        <v>10</v>
      </c>
      <c r="B83" s="717"/>
      <c r="C83" s="603">
        <f>SUM(C84:C84)</f>
        <v>1000</v>
      </c>
      <c r="D83" s="279"/>
      <c r="E83" s="279"/>
    </row>
    <row r="84" spans="1:7" ht="15.75" x14ac:dyDescent="0.25">
      <c r="A84" s="275" t="s">
        <v>459</v>
      </c>
      <c r="B84" s="715"/>
      <c r="C84" s="719">
        <v>1000</v>
      </c>
      <c r="D84" s="279"/>
      <c r="E84" s="279"/>
    </row>
    <row r="85" spans="1:7" ht="15.75" x14ac:dyDescent="0.25">
      <c r="A85" s="604" t="s">
        <v>201</v>
      </c>
      <c r="B85" s="717"/>
      <c r="C85" s="603">
        <f>SUM(C86:C101)</f>
        <v>46130</v>
      </c>
      <c r="D85" s="279"/>
      <c r="E85" s="279"/>
    </row>
    <row r="86" spans="1:7" ht="15.75" x14ac:dyDescent="0.25">
      <c r="A86" s="275" t="s">
        <v>550</v>
      </c>
      <c r="B86" s="715"/>
      <c r="C86" s="719">
        <f>2833+300</f>
        <v>3133</v>
      </c>
      <c r="D86" s="279"/>
      <c r="E86" s="279"/>
    </row>
    <row r="87" spans="1:7" ht="15.75" x14ac:dyDescent="0.25">
      <c r="A87" s="275" t="s">
        <v>487</v>
      </c>
      <c r="B87" s="715"/>
      <c r="C87" s="719">
        <v>1000</v>
      </c>
      <c r="D87" s="279"/>
      <c r="E87" s="279"/>
    </row>
    <row r="88" spans="1:7" ht="15.75" x14ac:dyDescent="0.25">
      <c r="A88" s="275" t="s">
        <v>488</v>
      </c>
      <c r="B88" s="715"/>
      <c r="C88" s="719">
        <v>5000</v>
      </c>
      <c r="D88" s="279"/>
      <c r="E88" s="279"/>
    </row>
    <row r="89" spans="1:7" ht="15.75" x14ac:dyDescent="0.25">
      <c r="A89" s="275" t="s">
        <v>489</v>
      </c>
      <c r="B89" s="715"/>
      <c r="C89" s="719">
        <f>666+500+1000</f>
        <v>2166</v>
      </c>
      <c r="D89" s="279"/>
      <c r="E89" s="279"/>
    </row>
    <row r="90" spans="1:7" ht="15.75" x14ac:dyDescent="0.25">
      <c r="A90" s="275" t="s">
        <v>549</v>
      </c>
      <c r="B90" s="715"/>
      <c r="C90" s="719">
        <v>1333</v>
      </c>
      <c r="D90" s="279"/>
      <c r="E90" s="274"/>
      <c r="F90" s="5"/>
      <c r="G90" s="5"/>
    </row>
    <row r="91" spans="1:7" ht="15.75" x14ac:dyDescent="0.25">
      <c r="A91" s="275" t="s">
        <v>505</v>
      </c>
      <c r="B91" s="715"/>
      <c r="C91" s="719">
        <v>500</v>
      </c>
      <c r="D91" s="279"/>
    </row>
    <row r="92" spans="1:7" ht="15.75" x14ac:dyDescent="0.25">
      <c r="A92" s="275" t="s">
        <v>194</v>
      </c>
      <c r="B92" s="715"/>
      <c r="C92" s="719">
        <v>2333</v>
      </c>
    </row>
    <row r="93" spans="1:7" ht="15.75" x14ac:dyDescent="0.25">
      <c r="A93" s="275" t="s">
        <v>506</v>
      </c>
      <c r="B93" s="715"/>
      <c r="C93" s="719">
        <f>800+1000</f>
        <v>1800</v>
      </c>
    </row>
    <row r="94" spans="1:7" ht="15.75" x14ac:dyDescent="0.25">
      <c r="A94" s="275" t="s">
        <v>507</v>
      </c>
      <c r="B94" s="715"/>
      <c r="C94" s="719">
        <v>2033</v>
      </c>
    </row>
    <row r="95" spans="1:7" ht="31.5" x14ac:dyDescent="0.25">
      <c r="A95" s="275" t="s">
        <v>548</v>
      </c>
      <c r="B95" s="715"/>
      <c r="C95" s="719">
        <v>2833</v>
      </c>
    </row>
    <row r="96" spans="1:7" ht="31.5" x14ac:dyDescent="0.25">
      <c r="A96" s="275" t="s">
        <v>544</v>
      </c>
      <c r="B96" s="715" t="s">
        <v>510</v>
      </c>
      <c r="C96" s="719">
        <v>2833</v>
      </c>
      <c r="G96" s="720"/>
    </row>
    <row r="97" spans="1:7" ht="31.5" x14ac:dyDescent="0.25">
      <c r="A97" s="275" t="s">
        <v>543</v>
      </c>
      <c r="B97" s="715" t="s">
        <v>510</v>
      </c>
      <c r="C97" s="719">
        <v>2833</v>
      </c>
    </row>
    <row r="98" spans="1:7" ht="15.75" x14ac:dyDescent="0.25">
      <c r="A98" s="275" t="s">
        <v>519</v>
      </c>
      <c r="B98" s="715" t="s">
        <v>452</v>
      </c>
      <c r="C98" s="719">
        <v>500</v>
      </c>
    </row>
    <row r="99" spans="1:7" ht="15.75" x14ac:dyDescent="0.25">
      <c r="A99" s="275" t="s">
        <v>521</v>
      </c>
      <c r="B99" s="715"/>
      <c r="C99" s="719">
        <v>2833</v>
      </c>
    </row>
    <row r="100" spans="1:7" ht="15.75" x14ac:dyDescent="0.25">
      <c r="A100" s="275" t="s">
        <v>536</v>
      </c>
      <c r="B100" s="715" t="s">
        <v>520</v>
      </c>
      <c r="C100" s="719">
        <v>9000</v>
      </c>
    </row>
    <row r="101" spans="1:7" ht="15.75" x14ac:dyDescent="0.25">
      <c r="A101" s="275" t="s">
        <v>537</v>
      </c>
      <c r="B101" s="715" t="s">
        <v>520</v>
      </c>
      <c r="C101" s="719">
        <v>6000</v>
      </c>
    </row>
    <row r="102" spans="1:7" ht="15.75" x14ac:dyDescent="0.25">
      <c r="A102" s="604" t="s">
        <v>558</v>
      </c>
      <c r="B102" s="717"/>
      <c r="C102" s="603">
        <f>SUM(C103:C107)</f>
        <v>411363</v>
      </c>
    </row>
    <row r="103" spans="1:7" ht="15.75" x14ac:dyDescent="0.25">
      <c r="A103" s="275" t="s">
        <v>578</v>
      </c>
      <c r="B103" s="729"/>
      <c r="C103" s="719">
        <v>365907</v>
      </c>
    </row>
    <row r="104" spans="1:7" ht="15.75" x14ac:dyDescent="0.25">
      <c r="A104" s="275" t="s">
        <v>580</v>
      </c>
      <c r="B104" s="729"/>
      <c r="C104" s="719">
        <v>26871</v>
      </c>
    </row>
    <row r="105" spans="1:7" ht="15.75" x14ac:dyDescent="0.25">
      <c r="A105" s="275" t="s">
        <v>584</v>
      </c>
      <c r="B105" s="729"/>
      <c r="C105" s="719">
        <v>1500</v>
      </c>
    </row>
    <row r="106" spans="1:7" ht="31.5" x14ac:dyDescent="0.25">
      <c r="A106" s="275" t="s">
        <v>579</v>
      </c>
      <c r="B106" s="729"/>
      <c r="C106" s="719">
        <v>7968</v>
      </c>
    </row>
    <row r="107" spans="1:7" ht="16.5" thickBot="1" x14ac:dyDescent="0.3">
      <c r="A107" s="728" t="s">
        <v>557</v>
      </c>
      <c r="B107" s="730"/>
      <c r="C107" s="731">
        <v>9117</v>
      </c>
    </row>
    <row r="108" spans="1:7" x14ac:dyDescent="0.25">
      <c r="A108" s="294"/>
      <c r="B108" s="294"/>
      <c r="G108" s="5"/>
    </row>
    <row r="109" spans="1:7" x14ac:dyDescent="0.25">
      <c r="A109" s="296"/>
      <c r="B109" s="296"/>
    </row>
    <row r="110" spans="1:7" x14ac:dyDescent="0.25">
      <c r="A110" s="294"/>
      <c r="B110" s="294"/>
    </row>
    <row r="111" spans="1:7" x14ac:dyDescent="0.25">
      <c r="A111" s="294"/>
      <c r="B111" s="294"/>
    </row>
    <row r="112" spans="1:7" x14ac:dyDescent="0.25">
      <c r="A112" s="294"/>
      <c r="B112" s="294"/>
    </row>
    <row r="113" spans="1:2" x14ac:dyDescent="0.25">
      <c r="A113" s="297"/>
      <c r="B113" s="297"/>
    </row>
    <row r="114" spans="1:2" x14ac:dyDescent="0.25">
      <c r="A114" s="299"/>
      <c r="B114" s="299"/>
    </row>
    <row r="115" spans="1:2" x14ac:dyDescent="0.25">
      <c r="A115" s="300"/>
      <c r="B115" s="300"/>
    </row>
    <row r="116" spans="1:2" x14ac:dyDescent="0.25">
      <c r="A116" s="300"/>
      <c r="B116" s="300"/>
    </row>
    <row r="117" spans="1:2" x14ac:dyDescent="0.25">
      <c r="A117" s="300"/>
      <c r="B117" s="300"/>
    </row>
    <row r="118" spans="1:2" x14ac:dyDescent="0.25">
      <c r="A118" s="300"/>
      <c r="B118" s="300"/>
    </row>
    <row r="119" spans="1:2" x14ac:dyDescent="0.25">
      <c r="A119" s="633"/>
      <c r="B119" s="633"/>
    </row>
    <row r="120" spans="1:2" x14ac:dyDescent="0.25">
      <c r="A120" s="266"/>
      <c r="B120" s="266"/>
    </row>
    <row r="121" spans="1:2" x14ac:dyDescent="0.25">
      <c r="A121" s="266"/>
      <c r="B121" s="266"/>
    </row>
    <row r="122" spans="1:2" x14ac:dyDescent="0.25">
      <c r="A122" s="266"/>
      <c r="B122" s="266"/>
    </row>
    <row r="123" spans="1:2" x14ac:dyDescent="0.25">
      <c r="A123" s="266"/>
      <c r="B123" s="266"/>
    </row>
    <row r="124" spans="1:2" x14ac:dyDescent="0.25">
      <c r="A124" s="266"/>
      <c r="B124" s="266"/>
    </row>
    <row r="125" spans="1:2" x14ac:dyDescent="0.25">
      <c r="A125" s="266"/>
      <c r="B125" s="266"/>
    </row>
    <row r="126" spans="1:2" x14ac:dyDescent="0.25">
      <c r="A126" s="266"/>
      <c r="B126" s="266"/>
    </row>
    <row r="127" spans="1:2" x14ac:dyDescent="0.25">
      <c r="A127" s="266"/>
      <c r="B127" s="266"/>
    </row>
    <row r="128" spans="1:2" x14ac:dyDescent="0.25">
      <c r="A128" s="266"/>
      <c r="B128" s="266"/>
    </row>
    <row r="129" spans="1:2" x14ac:dyDescent="0.25">
      <c r="A129" s="266"/>
      <c r="B129" s="266"/>
    </row>
    <row r="130" spans="1:2" x14ac:dyDescent="0.25">
      <c r="A130" s="266"/>
      <c r="B130" s="266"/>
    </row>
    <row r="131" spans="1:2" x14ac:dyDescent="0.25">
      <c r="A131" s="266"/>
      <c r="B131" s="266"/>
    </row>
    <row r="132" spans="1:2" x14ac:dyDescent="0.25">
      <c r="A132" s="294"/>
      <c r="B132" s="294"/>
    </row>
    <row r="133" spans="1:2" x14ac:dyDescent="0.25">
      <c r="A133" s="266"/>
      <c r="B133" s="266"/>
    </row>
    <row r="134" spans="1:2" x14ac:dyDescent="0.25">
      <c r="A134" s="266"/>
      <c r="B134" s="266"/>
    </row>
    <row r="135" spans="1:2" x14ac:dyDescent="0.25">
      <c r="A135" s="266"/>
      <c r="B135" s="266"/>
    </row>
  </sheetData>
  <mergeCells count="3">
    <mergeCell ref="A1:C1"/>
    <mergeCell ref="A4:C4"/>
    <mergeCell ref="A2:C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pane ySplit="4" topLeftCell="A20" activePane="bottomLeft" state="frozen"/>
      <selection activeCell="F34" sqref="F34"/>
      <selection pane="bottomLeft" activeCell="I7" sqref="I7"/>
    </sheetView>
  </sheetViews>
  <sheetFormatPr baseColWidth="10" defaultRowHeight="15" customHeight="1" x14ac:dyDescent="0.25"/>
  <cols>
    <col min="1" max="1" width="1.5703125" customWidth="1"/>
    <col min="2" max="2" width="2.5703125" customWidth="1"/>
    <col min="3" max="3" width="33.85546875" style="1" bestFit="1" customWidth="1"/>
    <col min="4" max="5" width="13.140625" style="1" hidden="1" customWidth="1"/>
    <col min="6" max="6" width="13.28515625" hidden="1" customWidth="1"/>
    <col min="7" max="7" width="13.140625" hidden="1" customWidth="1"/>
    <col min="8" max="8" width="13.42578125" bestFit="1" customWidth="1"/>
    <col min="9" max="9" width="12.7109375" bestFit="1" customWidth="1"/>
    <col min="10" max="10" width="12" bestFit="1" customWidth="1"/>
    <col min="11" max="11" width="14.140625" bestFit="1" customWidth="1"/>
    <col min="12" max="14" width="11.5703125" bestFit="1" customWidth="1"/>
    <col min="15" max="15" width="13.140625" bestFit="1" customWidth="1"/>
    <col min="16" max="18" width="11.5703125" bestFit="1" customWidth="1"/>
  </cols>
  <sheetData>
    <row r="1" spans="1:18" ht="15" customHeight="1" x14ac:dyDescent="0.25">
      <c r="A1" s="796" t="s">
        <v>288</v>
      </c>
      <c r="B1" s="797"/>
      <c r="C1" s="797"/>
      <c r="D1" s="797"/>
      <c r="E1" s="797"/>
      <c r="F1" s="797"/>
      <c r="G1" s="797"/>
      <c r="H1" s="797"/>
      <c r="I1" s="797"/>
      <c r="J1" s="797"/>
      <c r="K1" s="798"/>
    </row>
    <row r="2" spans="1:18" ht="19.5" customHeight="1" x14ac:dyDescent="0.3">
      <c r="A2" s="806" t="s">
        <v>326</v>
      </c>
      <c r="B2" s="807"/>
      <c r="C2" s="807"/>
      <c r="D2" s="807"/>
      <c r="E2" s="807"/>
      <c r="F2" s="807"/>
      <c r="G2" s="807"/>
      <c r="H2" s="807"/>
      <c r="I2" s="807"/>
      <c r="J2" s="807"/>
      <c r="K2" s="808"/>
    </row>
    <row r="3" spans="1:18" ht="19.5" customHeight="1" thickBot="1" x14ac:dyDescent="0.3">
      <c r="A3" s="787" t="s">
        <v>0</v>
      </c>
      <c r="B3" s="788"/>
      <c r="C3" s="788"/>
      <c r="D3" s="788"/>
      <c r="E3" s="788"/>
      <c r="F3" s="788"/>
      <c r="G3" s="788"/>
      <c r="H3" s="788"/>
      <c r="I3" s="788"/>
      <c r="J3" s="788"/>
      <c r="K3" s="789"/>
    </row>
    <row r="4" spans="1:18" ht="20.100000000000001" customHeight="1" thickBot="1" x14ac:dyDescent="0.3">
      <c r="A4" s="790" t="s">
        <v>1</v>
      </c>
      <c r="B4" s="791"/>
      <c r="C4" s="792"/>
      <c r="D4" s="661" t="s">
        <v>3</v>
      </c>
      <c r="E4" s="661" t="s">
        <v>4</v>
      </c>
      <c r="F4" s="661" t="s">
        <v>3</v>
      </c>
      <c r="G4" s="661" t="s">
        <v>4</v>
      </c>
      <c r="H4" s="665" t="s">
        <v>5</v>
      </c>
      <c r="I4" s="666" t="s">
        <v>6</v>
      </c>
      <c r="J4" s="666" t="s">
        <v>7</v>
      </c>
      <c r="K4" s="666" t="s">
        <v>8</v>
      </c>
      <c r="P4" s="548"/>
      <c r="Q4" s="548"/>
      <c r="R4" s="548"/>
    </row>
    <row r="5" spans="1:18" ht="20.100000000000001" customHeight="1" x14ac:dyDescent="0.25">
      <c r="A5" s="793" t="s">
        <v>9</v>
      </c>
      <c r="B5" s="794"/>
      <c r="C5" s="795"/>
      <c r="D5" s="6">
        <f>'anexo 2'!B31</f>
        <v>252000</v>
      </c>
      <c r="E5" s="6">
        <f>'anexo 2'!C31</f>
        <v>298176</v>
      </c>
      <c r="F5" s="6">
        <f>'anexo 2'!D31</f>
        <v>288616</v>
      </c>
      <c r="G5" s="6">
        <f>'anexo 2'!E31</f>
        <v>355022</v>
      </c>
      <c r="H5" s="515">
        <f t="shared" ref="H5:H27" si="0">SUM(I5:K5)</f>
        <v>395000</v>
      </c>
      <c r="I5" s="6">
        <f>SUM('anexo 2'!G31)</f>
        <v>390246</v>
      </c>
      <c r="J5" s="6">
        <f>SUM('anexo 2'!H31)</f>
        <v>0</v>
      </c>
      <c r="K5" s="407">
        <f>SUM('anexo 2'!I31)</f>
        <v>4754</v>
      </c>
      <c r="N5" s="5"/>
      <c r="O5" s="5"/>
      <c r="P5" s="547"/>
      <c r="Q5" s="547"/>
      <c r="R5" s="547"/>
    </row>
    <row r="6" spans="1:18" ht="20.100000000000001" customHeight="1" x14ac:dyDescent="0.25">
      <c r="A6" s="744" t="s">
        <v>10</v>
      </c>
      <c r="B6" s="745"/>
      <c r="C6" s="746"/>
      <c r="D6" s="8">
        <f>'anexo 3'!B24</f>
        <v>360592</v>
      </c>
      <c r="E6" s="8">
        <f>'anexo 3'!C24</f>
        <v>372670</v>
      </c>
      <c r="F6" s="8">
        <f>'anexo 3'!D24</f>
        <v>403230</v>
      </c>
      <c r="G6" s="8">
        <f>'anexo 3'!E24</f>
        <v>403230</v>
      </c>
      <c r="H6" s="8">
        <f t="shared" si="0"/>
        <v>567198</v>
      </c>
      <c r="I6" s="8">
        <f>SUM('anexo 3'!G24)</f>
        <v>567198</v>
      </c>
      <c r="J6" s="8">
        <f>SUM('anexo 3'!H24)</f>
        <v>0</v>
      </c>
      <c r="K6" s="9">
        <f>SUM('anexo 3'!I24)</f>
        <v>0</v>
      </c>
      <c r="N6" s="5"/>
      <c r="O6" s="5"/>
      <c r="P6" s="547"/>
      <c r="Q6" s="547"/>
      <c r="R6" s="547"/>
    </row>
    <row r="7" spans="1:18" ht="20.100000000000001" customHeight="1" x14ac:dyDescent="0.25">
      <c r="A7" s="744" t="s">
        <v>11</v>
      </c>
      <c r="B7" s="745"/>
      <c r="C7" s="746"/>
      <c r="D7" s="8">
        <f>'anexo 4'!B25</f>
        <v>75414</v>
      </c>
      <c r="E7" s="8">
        <f>'anexo 4'!C25</f>
        <v>79024</v>
      </c>
      <c r="F7" s="8">
        <f>'anexo 4'!D25</f>
        <v>87101</v>
      </c>
      <c r="G7" s="8">
        <f>'anexo 4'!E25</f>
        <v>90273</v>
      </c>
      <c r="H7" s="516">
        <f t="shared" si="0"/>
        <v>105113</v>
      </c>
      <c r="I7" s="8">
        <f>SUM('anexo 4'!G25)</f>
        <v>105113</v>
      </c>
      <c r="J7" s="8">
        <f>SUM('anexo 4'!H25)</f>
        <v>0</v>
      </c>
      <c r="K7" s="9">
        <f>SUM('anexo 4'!I25)</f>
        <v>0</v>
      </c>
      <c r="M7" s="5"/>
      <c r="N7" s="5"/>
      <c r="O7" s="5"/>
      <c r="P7" s="547"/>
      <c r="Q7" s="547"/>
      <c r="R7" s="547"/>
    </row>
    <row r="8" spans="1:18" ht="20.100000000000001" customHeight="1" x14ac:dyDescent="0.25">
      <c r="A8" s="744" t="s">
        <v>12</v>
      </c>
      <c r="B8" s="745"/>
      <c r="C8" s="746"/>
      <c r="D8" s="8">
        <v>12500</v>
      </c>
      <c r="E8" s="8">
        <f>2636+2702+2636+5393</f>
        <v>13367</v>
      </c>
      <c r="F8" s="8">
        <v>14500</v>
      </c>
      <c r="G8" s="8">
        <v>14500</v>
      </c>
      <c r="H8" s="8">
        <f t="shared" si="0"/>
        <v>14500</v>
      </c>
      <c r="I8" s="8">
        <v>14500</v>
      </c>
      <c r="J8" s="8">
        <v>0</v>
      </c>
      <c r="K8" s="9">
        <v>0</v>
      </c>
      <c r="M8" s="5"/>
      <c r="N8" s="5"/>
      <c r="O8" s="5"/>
      <c r="P8" s="547"/>
      <c r="Q8" s="547"/>
      <c r="R8" s="547"/>
    </row>
    <row r="9" spans="1:18" ht="20.100000000000001" customHeight="1" x14ac:dyDescent="0.25">
      <c r="A9" s="803" t="s">
        <v>13</v>
      </c>
      <c r="B9" s="804"/>
      <c r="C9" s="805"/>
      <c r="D9" s="566" t="e">
        <f>'anexo 5'!#REF!</f>
        <v>#REF!</v>
      </c>
      <c r="E9" s="566" t="e">
        <f>'anexo 5'!#REF!</f>
        <v>#REF!</v>
      </c>
      <c r="F9" s="566" t="e">
        <f>'anexo 5'!#REF!</f>
        <v>#REF!</v>
      </c>
      <c r="G9" s="566" t="e">
        <f>'anexo 5'!#REF!</f>
        <v>#REF!</v>
      </c>
      <c r="H9" s="566">
        <f t="shared" si="0"/>
        <v>28750</v>
      </c>
      <c r="I9" s="566">
        <f>SUM('anexo 5'!C42)</f>
        <v>28750</v>
      </c>
      <c r="J9" s="566">
        <f>SUM('anexo 5'!D42)</f>
        <v>0</v>
      </c>
      <c r="K9" s="567">
        <f>SUM('anexo 5'!E42)</f>
        <v>0</v>
      </c>
      <c r="M9" s="5"/>
      <c r="N9" s="5"/>
      <c r="O9" s="5"/>
      <c r="P9" s="547"/>
      <c r="Q9" s="547"/>
      <c r="R9" s="547"/>
    </row>
    <row r="10" spans="1:18" ht="20.100000000000001" customHeight="1" x14ac:dyDescent="0.25">
      <c r="A10" s="689" t="s">
        <v>14</v>
      </c>
      <c r="B10" s="8"/>
      <c r="C10" s="8"/>
      <c r="D10" s="638" t="e">
        <f>D11+D12+D13+D15+D19</f>
        <v>#REF!</v>
      </c>
      <c r="E10" s="638" t="e">
        <f>E11+E12+E13+E15+E19</f>
        <v>#REF!</v>
      </c>
      <c r="F10" s="638" t="e">
        <f>F11+F12+F13+F15+F19</f>
        <v>#REF!</v>
      </c>
      <c r="G10" s="638" t="e">
        <f>G11+G12+G13+G15+G19</f>
        <v>#REF!</v>
      </c>
      <c r="H10" s="8">
        <f>H11+H12+H13</f>
        <v>2668852</v>
      </c>
      <c r="I10" s="8">
        <f t="shared" ref="I10:K10" si="1">I11+I12+I13</f>
        <v>2206570</v>
      </c>
      <c r="J10" s="8">
        <f t="shared" si="1"/>
        <v>462282</v>
      </c>
      <c r="K10" s="9">
        <f t="shared" si="1"/>
        <v>0</v>
      </c>
      <c r="M10" s="5"/>
      <c r="N10" s="5"/>
      <c r="O10" s="5"/>
      <c r="P10" s="547"/>
      <c r="Q10" s="547"/>
      <c r="R10" s="547"/>
    </row>
    <row r="11" spans="1:18" ht="20.100000000000001" customHeight="1" x14ac:dyDescent="0.25">
      <c r="A11" s="637"/>
      <c r="B11" s="799" t="s">
        <v>15</v>
      </c>
      <c r="C11" s="800"/>
      <c r="D11" s="563" t="e">
        <f>'anexo 6'!#REF!</f>
        <v>#REF!</v>
      </c>
      <c r="E11" s="563" t="e">
        <f>'anexo 6'!#REF!</f>
        <v>#REF!</v>
      </c>
      <c r="F11" s="563" t="e">
        <f>'anexo 6'!#REF!</f>
        <v>#REF!</v>
      </c>
      <c r="G11" s="563" t="e">
        <f>'anexo 6'!#REF!</f>
        <v>#REF!</v>
      </c>
      <c r="H11" s="563">
        <f t="shared" si="0"/>
        <v>1716182</v>
      </c>
      <c r="I11" s="563">
        <f>SUM('anexo 6'!B30)</f>
        <v>1716182</v>
      </c>
      <c r="J11" s="563">
        <v>0</v>
      </c>
      <c r="K11" s="565">
        <v>0</v>
      </c>
      <c r="M11" s="5"/>
      <c r="N11" s="5"/>
      <c r="O11" s="5"/>
      <c r="P11" s="547"/>
      <c r="Q11" s="547"/>
      <c r="R11" s="547"/>
    </row>
    <row r="12" spans="1:18" ht="20.100000000000001" customHeight="1" x14ac:dyDescent="0.25">
      <c r="A12" s="7"/>
      <c r="B12" s="751" t="s">
        <v>16</v>
      </c>
      <c r="C12" s="752"/>
      <c r="D12" s="8" t="e">
        <f>'anexo 6'!#REF!</f>
        <v>#REF!</v>
      </c>
      <c r="E12" s="8" t="e">
        <f>'anexo 6'!#REF!</f>
        <v>#REF!</v>
      </c>
      <c r="F12" s="8" t="e">
        <f>'anexo 6'!#REF!</f>
        <v>#REF!</v>
      </c>
      <c r="G12" s="8" t="e">
        <f>'anexo 6'!#REF!</f>
        <v>#REF!</v>
      </c>
      <c r="H12" s="8">
        <f t="shared" si="0"/>
        <v>15000</v>
      </c>
      <c r="I12" s="8">
        <f>SUM('anexo 6'!B32)</f>
        <v>15000</v>
      </c>
      <c r="J12" s="8">
        <v>0</v>
      </c>
      <c r="K12" s="9">
        <v>0</v>
      </c>
      <c r="M12" s="5"/>
      <c r="N12" s="5"/>
      <c r="O12" s="5"/>
      <c r="P12" s="547"/>
      <c r="Q12" s="547"/>
      <c r="R12" s="547"/>
    </row>
    <row r="13" spans="1:18" ht="20.100000000000001" customHeight="1" x14ac:dyDescent="0.25">
      <c r="A13" s="7"/>
      <c r="B13" s="751" t="s">
        <v>17</v>
      </c>
      <c r="C13" s="752"/>
      <c r="D13" s="8" t="e">
        <f>SUM(D14:D14)</f>
        <v>#REF!</v>
      </c>
      <c r="E13" s="8" t="e">
        <f>SUM(E14:E14)</f>
        <v>#REF!</v>
      </c>
      <c r="F13" s="8" t="e">
        <f>SUM(F14:F14)</f>
        <v>#REF!</v>
      </c>
      <c r="G13" s="8" t="e">
        <f>SUM(G14:G14)</f>
        <v>#REF!</v>
      </c>
      <c r="H13" s="8">
        <f t="shared" si="0"/>
        <v>937670</v>
      </c>
      <c r="I13" s="8">
        <f>SUM(I14:I14)</f>
        <v>475388</v>
      </c>
      <c r="J13" s="8">
        <f>SUM(J14:J14)</f>
        <v>462282</v>
      </c>
      <c r="K13" s="9">
        <f>SUM(K14:K14)</f>
        <v>0</v>
      </c>
      <c r="M13" s="5"/>
      <c r="N13" s="5"/>
      <c r="O13" s="5"/>
      <c r="P13" s="547"/>
      <c r="Q13" s="547"/>
      <c r="R13" s="547"/>
    </row>
    <row r="14" spans="1:18" ht="20.100000000000001" customHeight="1" x14ac:dyDescent="0.25">
      <c r="A14" s="10"/>
      <c r="B14" s="11"/>
      <c r="C14" s="12" t="s">
        <v>18</v>
      </c>
      <c r="D14" s="13" t="e">
        <f>'anexo 7'!#REF!</f>
        <v>#REF!</v>
      </c>
      <c r="E14" s="13" t="e">
        <f>'anexo 7'!#REF!</f>
        <v>#REF!</v>
      </c>
      <c r="F14" s="13" t="e">
        <f>'anexo 7'!#REF!</f>
        <v>#REF!</v>
      </c>
      <c r="G14" s="13" t="e">
        <f>'anexo 7'!#REF!</f>
        <v>#REF!</v>
      </c>
      <c r="H14" s="13">
        <f t="shared" si="0"/>
        <v>937670</v>
      </c>
      <c r="I14" s="13">
        <f>'anexo 7'!G34</f>
        <v>475388</v>
      </c>
      <c r="J14" s="13">
        <f>'anexo 7'!H34</f>
        <v>462282</v>
      </c>
      <c r="K14" s="14">
        <f>'anexo 7'!I34</f>
        <v>0</v>
      </c>
      <c r="N14" s="5"/>
      <c r="P14" s="547"/>
      <c r="Q14" s="547"/>
      <c r="R14" s="547"/>
    </row>
    <row r="15" spans="1:18" ht="20.100000000000001" customHeight="1" x14ac:dyDescent="0.25">
      <c r="A15" s="15"/>
      <c r="B15" s="751" t="s">
        <v>21</v>
      </c>
      <c r="C15" s="752"/>
      <c r="D15" s="8">
        <f>SUM(D16:D18)</f>
        <v>8789668</v>
      </c>
      <c r="E15" s="8" t="e">
        <f>SUM(E16:E18)</f>
        <v>#REF!</v>
      </c>
      <c r="F15" s="8">
        <f>SUM(F16:F18)</f>
        <v>9128994</v>
      </c>
      <c r="G15" s="8" t="e">
        <f>SUM(G16:G18)</f>
        <v>#REF!</v>
      </c>
      <c r="H15" s="8">
        <f t="shared" si="0"/>
        <v>11275750.25</v>
      </c>
      <c r="I15" s="8">
        <f>SUM(I16:I18)</f>
        <v>3278946.25</v>
      </c>
      <c r="J15" s="8">
        <f>SUM(J16:J18)</f>
        <v>6292504</v>
      </c>
      <c r="K15" s="9">
        <f>SUM(K16:K18)</f>
        <v>1704300</v>
      </c>
      <c r="M15" s="5"/>
      <c r="N15" s="5"/>
      <c r="O15" s="547"/>
      <c r="P15" s="547"/>
      <c r="Q15" s="547"/>
      <c r="R15" s="547"/>
    </row>
    <row r="16" spans="1:18" ht="20.100000000000001" customHeight="1" x14ac:dyDescent="0.25">
      <c r="A16" s="15"/>
      <c r="B16" s="11"/>
      <c r="C16" s="16" t="s">
        <v>22</v>
      </c>
      <c r="D16" s="13">
        <v>2153445</v>
      </c>
      <c r="E16" s="13" t="e">
        <f>'anexo 8 '!#REF!</f>
        <v>#REF!</v>
      </c>
      <c r="F16" s="13">
        <v>2419232</v>
      </c>
      <c r="G16" s="13" t="e">
        <f>'anexo 8 '!#REF!</f>
        <v>#REF!</v>
      </c>
      <c r="H16" s="13">
        <f t="shared" si="0"/>
        <v>3278946.25</v>
      </c>
      <c r="I16" s="13">
        <f>'anexo 8 '!C6</f>
        <v>3278946.25</v>
      </c>
      <c r="J16" s="13">
        <v>0</v>
      </c>
      <c r="K16" s="14">
        <v>0</v>
      </c>
      <c r="L16" s="5"/>
      <c r="M16" s="5"/>
      <c r="N16" s="5"/>
      <c r="P16" s="547"/>
      <c r="Q16" s="547"/>
      <c r="R16" s="547"/>
    </row>
    <row r="17" spans="1:18" ht="20.100000000000001" customHeight="1" x14ac:dyDescent="0.25">
      <c r="A17" s="15"/>
      <c r="B17" s="11"/>
      <c r="C17" s="16" t="s">
        <v>20</v>
      </c>
      <c r="D17" s="13">
        <v>5430800</v>
      </c>
      <c r="E17" s="13">
        <v>5745487</v>
      </c>
      <c r="F17" s="13">
        <v>5660388</v>
      </c>
      <c r="G17" s="13" t="e">
        <f>'anexo 8 '!#REF!</f>
        <v>#REF!</v>
      </c>
      <c r="H17" s="13">
        <f t="shared" si="0"/>
        <v>6292504</v>
      </c>
      <c r="I17" s="13"/>
      <c r="J17" s="13">
        <f>'anexo 8 '!D6</f>
        <v>6292504</v>
      </c>
      <c r="K17" s="14">
        <v>0</v>
      </c>
      <c r="N17" s="5"/>
      <c r="Q17" s="547"/>
      <c r="R17" s="547"/>
    </row>
    <row r="18" spans="1:18" ht="20.100000000000001" customHeight="1" x14ac:dyDescent="0.25">
      <c r="A18" s="15"/>
      <c r="B18" s="11"/>
      <c r="C18" s="16" t="s">
        <v>19</v>
      </c>
      <c r="D18" s="13">
        <v>1205423</v>
      </c>
      <c r="E18" s="13">
        <v>1850311</v>
      </c>
      <c r="F18" s="13">
        <v>1049374</v>
      </c>
      <c r="G18" s="13" t="e">
        <f>'anexo 8 '!#REF!</f>
        <v>#REF!</v>
      </c>
      <c r="H18" s="13">
        <f t="shared" si="0"/>
        <v>1704300</v>
      </c>
      <c r="I18" s="13"/>
      <c r="J18" s="13"/>
      <c r="K18" s="14">
        <f>'anexo 8 '!E6</f>
        <v>1704300</v>
      </c>
      <c r="M18" s="5"/>
      <c r="N18" s="5"/>
      <c r="Q18" s="547"/>
      <c r="R18" s="547"/>
    </row>
    <row r="19" spans="1:18" ht="20.100000000000001" customHeight="1" x14ac:dyDescent="0.25">
      <c r="A19" s="15"/>
      <c r="B19" s="751" t="s">
        <v>23</v>
      </c>
      <c r="C19" s="752"/>
      <c r="D19" s="8">
        <f>anexo9!B33</f>
        <v>39456</v>
      </c>
      <c r="E19" s="8">
        <f>anexo9!C33</f>
        <v>31677</v>
      </c>
      <c r="F19" s="8" t="e">
        <f>anexo9!D33</f>
        <v>#REF!</v>
      </c>
      <c r="G19" s="8" t="e">
        <f>anexo9!E33</f>
        <v>#REF!</v>
      </c>
      <c r="H19" s="8">
        <f t="shared" si="0"/>
        <v>577184</v>
      </c>
      <c r="I19" s="8">
        <f>anexo9!G33</f>
        <v>398450</v>
      </c>
      <c r="J19" s="8">
        <f>anexo9!H33</f>
        <v>178734</v>
      </c>
      <c r="K19" s="9">
        <f>anexo9!I33</f>
        <v>0</v>
      </c>
      <c r="N19" s="5"/>
      <c r="O19" s="547"/>
      <c r="P19" s="547"/>
      <c r="Q19" s="547"/>
      <c r="R19" s="547"/>
    </row>
    <row r="20" spans="1:18" ht="20.100000000000001" customHeight="1" x14ac:dyDescent="0.25">
      <c r="A20" s="761" t="s">
        <v>24</v>
      </c>
      <c r="B20" s="762"/>
      <c r="C20" s="763"/>
      <c r="D20" s="8">
        <f>SUM(D21:D23,D26:D27)</f>
        <v>2896389</v>
      </c>
      <c r="E20" s="8">
        <f>SUM(E21:E23,E26:E27)</f>
        <v>3183246</v>
      </c>
      <c r="F20" s="8">
        <f>SUM(F21:F23,F26:F27)</f>
        <v>3195206</v>
      </c>
      <c r="G20" s="8">
        <f>SUM(G21:G23,G26:G27)</f>
        <v>3579199</v>
      </c>
      <c r="H20" s="8">
        <f t="shared" si="0"/>
        <v>3821406.51</v>
      </c>
      <c r="I20" s="8">
        <f>SUM(I21:I23,I26:I27)</f>
        <v>2436932.5099999998</v>
      </c>
      <c r="J20" s="8">
        <f>SUM(J21:J23,J26:J27)</f>
        <v>1264474</v>
      </c>
      <c r="K20" s="9">
        <f>SUM(K21:K23,K26:K27)</f>
        <v>120000</v>
      </c>
      <c r="N20" s="5"/>
      <c r="O20" s="547"/>
      <c r="P20" s="547"/>
      <c r="Q20" s="547"/>
      <c r="R20" s="547"/>
    </row>
    <row r="21" spans="1:18" ht="20.100000000000001" customHeight="1" x14ac:dyDescent="0.25">
      <c r="A21" s="15"/>
      <c r="B21" s="747" t="s">
        <v>25</v>
      </c>
      <c r="C21" s="748"/>
      <c r="D21" s="13">
        <f>'anexo 10'!B15</f>
        <v>76000</v>
      </c>
      <c r="E21" s="13">
        <f>'anexo 10'!C15</f>
        <v>159378</v>
      </c>
      <c r="F21" s="13">
        <f>'anexo 10'!D15</f>
        <v>85000</v>
      </c>
      <c r="G21" s="13">
        <f>'anexo 10'!E15</f>
        <v>149582</v>
      </c>
      <c r="H21" s="13">
        <f t="shared" si="0"/>
        <v>120000</v>
      </c>
      <c r="I21" s="13">
        <f>'anexo 10'!G15</f>
        <v>0</v>
      </c>
      <c r="J21" s="13">
        <f>'anexo 10'!H15</f>
        <v>0</v>
      </c>
      <c r="K21" s="14">
        <f>'anexo 10'!I15</f>
        <v>120000</v>
      </c>
      <c r="N21" s="5"/>
      <c r="Q21" s="547"/>
    </row>
    <row r="22" spans="1:18" ht="20.100000000000001" customHeight="1" x14ac:dyDescent="0.25">
      <c r="A22" s="15"/>
      <c r="B22" s="742" t="s">
        <v>437</v>
      </c>
      <c r="C22" s="743"/>
      <c r="D22" s="13"/>
      <c r="E22" s="13"/>
      <c r="F22" s="13"/>
      <c r="G22" s="13"/>
      <c r="H22" s="13">
        <f t="shared" si="0"/>
        <v>365907</v>
      </c>
      <c r="I22" s="13">
        <f>'anexo 10'!G17</f>
        <v>365907</v>
      </c>
      <c r="J22" s="13">
        <f>'anexo 10'!H17</f>
        <v>0</v>
      </c>
      <c r="K22" s="14">
        <f>'anexo 10'!I17</f>
        <v>0</v>
      </c>
      <c r="N22" s="5"/>
      <c r="Q22" s="547"/>
    </row>
    <row r="23" spans="1:18" ht="20.100000000000001" customHeight="1" x14ac:dyDescent="0.25">
      <c r="A23" s="15"/>
      <c r="B23" s="747" t="s">
        <v>26</v>
      </c>
      <c r="C23" s="748"/>
      <c r="D23" s="13">
        <f>SUM(D24:D25)</f>
        <v>1090500</v>
      </c>
      <c r="E23" s="13">
        <f>SUM(E24:E25)</f>
        <v>1089663</v>
      </c>
      <c r="F23" s="13">
        <f>SUM(F24:F25)</f>
        <v>1212898</v>
      </c>
      <c r="G23" s="13">
        <f>SUM(G24:G25)</f>
        <v>1228764</v>
      </c>
      <c r="H23" s="13">
        <f t="shared" si="0"/>
        <v>1264474</v>
      </c>
      <c r="I23" s="13">
        <f>SUM(I24:I25)</f>
        <v>0</v>
      </c>
      <c r="J23" s="13">
        <f>SUM(J24:J25)</f>
        <v>1264474</v>
      </c>
      <c r="K23" s="14">
        <f>SUM(K24:K25)</f>
        <v>0</v>
      </c>
      <c r="N23" s="5"/>
      <c r="Q23" s="547"/>
      <c r="R23" s="547"/>
    </row>
    <row r="24" spans="1:18" ht="20.100000000000001" customHeight="1" x14ac:dyDescent="0.25">
      <c r="A24" s="15"/>
      <c r="B24" s="11"/>
      <c r="C24" s="17" t="s">
        <v>27</v>
      </c>
      <c r="D24" s="13">
        <f>'anexo 10'!B20</f>
        <v>430300</v>
      </c>
      <c r="E24" s="13">
        <f>'anexo 10'!C20</f>
        <v>429671</v>
      </c>
      <c r="F24" s="13">
        <f>'anexo 10'!D20</f>
        <v>476281</v>
      </c>
      <c r="G24" s="13">
        <f>'anexo 10'!E20</f>
        <v>478696</v>
      </c>
      <c r="H24" s="13">
        <f t="shared" si="0"/>
        <v>412990</v>
      </c>
      <c r="I24" s="13">
        <f>'anexo 10'!G20</f>
        <v>0</v>
      </c>
      <c r="J24" s="13">
        <f>'anexo 10'!H20</f>
        <v>412990</v>
      </c>
      <c r="K24" s="14">
        <f>'anexo 10'!I20</f>
        <v>0</v>
      </c>
      <c r="N24" s="5"/>
      <c r="Q24" s="547"/>
    </row>
    <row r="25" spans="1:18" ht="20.100000000000001" customHeight="1" x14ac:dyDescent="0.25">
      <c r="A25" s="15"/>
      <c r="B25" s="11"/>
      <c r="C25" s="17" t="s">
        <v>28</v>
      </c>
      <c r="D25" s="13">
        <f>'anexo 10'!B21</f>
        <v>660200</v>
      </c>
      <c r="E25" s="13">
        <f>'anexo 10'!C21</f>
        <v>659992</v>
      </c>
      <c r="F25" s="13">
        <f>'anexo 10'!D21</f>
        <v>736617</v>
      </c>
      <c r="G25" s="13">
        <f>'anexo 10'!E21</f>
        <v>750068</v>
      </c>
      <c r="H25" s="13">
        <f t="shared" si="0"/>
        <v>851484</v>
      </c>
      <c r="I25" s="13">
        <f>'anexo 10'!G21</f>
        <v>0</v>
      </c>
      <c r="J25" s="13">
        <f>'anexo 10'!H21</f>
        <v>851484</v>
      </c>
      <c r="K25" s="14">
        <f>'anexo 10'!I21</f>
        <v>0</v>
      </c>
      <c r="N25" s="5"/>
      <c r="Q25" s="547"/>
    </row>
    <row r="26" spans="1:18" ht="20.100000000000001" customHeight="1" x14ac:dyDescent="0.25">
      <c r="A26" s="15"/>
      <c r="B26" s="747" t="s">
        <v>29</v>
      </c>
      <c r="C26" s="748"/>
      <c r="D26" s="13">
        <f>'anexo 10'!B6</f>
        <v>1638751</v>
      </c>
      <c r="E26" s="13">
        <f>'anexo 10'!C6</f>
        <v>1843505</v>
      </c>
      <c r="F26" s="13">
        <f>'anexo 10'!D6</f>
        <v>1793092</v>
      </c>
      <c r="G26" s="13">
        <f>'anexo 10'!E6</f>
        <v>2096637</v>
      </c>
      <c r="H26" s="13">
        <f t="shared" si="0"/>
        <v>1938023.0000000002</v>
      </c>
      <c r="I26" s="13">
        <f>SUM('anexo 10'!G6)</f>
        <v>1938023.0000000002</v>
      </c>
      <c r="J26" s="13">
        <f>SUM('anexo 10'!H6)</f>
        <v>0</v>
      </c>
      <c r="K26" s="14">
        <f>SUM('anexo 10'!I6)</f>
        <v>0</v>
      </c>
      <c r="M26" s="5"/>
      <c r="N26" s="5"/>
      <c r="Q26" s="547"/>
    </row>
    <row r="27" spans="1:18" ht="20.100000000000001" customHeight="1" thickBot="1" x14ac:dyDescent="0.3">
      <c r="A27" s="690"/>
      <c r="B27" s="801" t="s">
        <v>30</v>
      </c>
      <c r="C27" s="802"/>
      <c r="D27" s="691">
        <f>'anexo 10'!B23</f>
        <v>91138</v>
      </c>
      <c r="E27" s="691">
        <f>'anexo 10'!C23</f>
        <v>90700</v>
      </c>
      <c r="F27" s="691">
        <f>'anexo 10'!D23</f>
        <v>104216</v>
      </c>
      <c r="G27" s="691">
        <f>'anexo 10'!E23</f>
        <v>104216</v>
      </c>
      <c r="H27" s="691">
        <f t="shared" si="0"/>
        <v>133002.51</v>
      </c>
      <c r="I27" s="691">
        <f>SUM('anexo 10'!G23)</f>
        <v>133002.51</v>
      </c>
      <c r="J27" s="691">
        <f>SUM('anexo 10'!H23)</f>
        <v>0</v>
      </c>
      <c r="K27" s="692">
        <f>SUM('anexo 10'!I23)</f>
        <v>0</v>
      </c>
      <c r="N27" s="5"/>
      <c r="Q27" s="547"/>
    </row>
    <row r="28" spans="1:18" ht="20.100000000000001" customHeight="1" thickBot="1" x14ac:dyDescent="0.3">
      <c r="A28" s="749" t="s">
        <v>255</v>
      </c>
      <c r="B28" s="750"/>
      <c r="C28" s="750"/>
      <c r="D28" s="686"/>
      <c r="E28" s="686"/>
      <c r="F28" s="686"/>
      <c r="G28" s="686"/>
      <c r="H28" s="687">
        <f>H5+H6+H7+H8+H9+H10+H15+H19+H20</f>
        <v>19453753.759999998</v>
      </c>
      <c r="I28" s="687">
        <f t="shared" ref="I28:K28" si="2">I5+I6+I7+I8+I9+I10+I15+I19+I20</f>
        <v>9426705.7599999998</v>
      </c>
      <c r="J28" s="687">
        <f t="shared" si="2"/>
        <v>8197994</v>
      </c>
      <c r="K28" s="687">
        <f t="shared" si="2"/>
        <v>1829054</v>
      </c>
      <c r="Q28" s="547"/>
    </row>
    <row r="29" spans="1:18" ht="15" customHeight="1" x14ac:dyDescent="0.25">
      <c r="H29" s="5"/>
    </row>
    <row r="30" spans="1:18" ht="15" customHeight="1" x14ac:dyDescent="0.25">
      <c r="H30" s="5"/>
      <c r="J30" s="5"/>
    </row>
    <row r="32" spans="1:18" ht="15" customHeight="1" x14ac:dyDescent="0.25">
      <c r="H32" s="5"/>
      <c r="J32" s="5"/>
      <c r="K32" s="547"/>
    </row>
  </sheetData>
  <mergeCells count="21">
    <mergeCell ref="A1:K1"/>
    <mergeCell ref="B11:C11"/>
    <mergeCell ref="B12:C12"/>
    <mergeCell ref="B27:C27"/>
    <mergeCell ref="B15:C15"/>
    <mergeCell ref="B19:C19"/>
    <mergeCell ref="A20:C20"/>
    <mergeCell ref="B21:C21"/>
    <mergeCell ref="B23:C23"/>
    <mergeCell ref="B26:C26"/>
    <mergeCell ref="B13:C13"/>
    <mergeCell ref="A7:C7"/>
    <mergeCell ref="A8:C8"/>
    <mergeCell ref="A9:C9"/>
    <mergeCell ref="A2:K2"/>
    <mergeCell ref="A28:C28"/>
    <mergeCell ref="A3:K3"/>
    <mergeCell ref="A4:C4"/>
    <mergeCell ref="A5:C5"/>
    <mergeCell ref="A6:C6"/>
    <mergeCell ref="B22:C2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pane ySplit="4" topLeftCell="A5" activePane="bottomLeft" state="frozen"/>
      <selection activeCell="F34" sqref="F34"/>
      <selection pane="bottomLeft" activeCell="C6" sqref="C6"/>
    </sheetView>
  </sheetViews>
  <sheetFormatPr baseColWidth="10" defaultColWidth="11.42578125" defaultRowHeight="15" customHeight="1" x14ac:dyDescent="0.25"/>
  <cols>
    <col min="1" max="1" width="35.28515625" bestFit="1" customWidth="1"/>
    <col min="2" max="2" width="12.7109375" bestFit="1" customWidth="1"/>
    <col min="3" max="4" width="11.5703125" bestFit="1" customWidth="1"/>
    <col min="5" max="5" width="15.85546875" customWidth="1"/>
    <col min="7" max="7" width="11.5703125" bestFit="1" customWidth="1"/>
    <col min="12" max="12" width="17.42578125" customWidth="1"/>
    <col min="13" max="13" width="15.42578125" customWidth="1"/>
  </cols>
  <sheetData>
    <row r="1" spans="1:7" ht="18.75" customHeight="1" x14ac:dyDescent="0.25">
      <c r="A1" s="878" t="s">
        <v>14</v>
      </c>
      <c r="B1" s="879"/>
      <c r="C1" s="879"/>
      <c r="D1" s="879"/>
      <c r="E1" s="880"/>
    </row>
    <row r="2" spans="1:7" ht="18.75" customHeight="1" x14ac:dyDescent="0.25">
      <c r="A2" s="884" t="s">
        <v>134</v>
      </c>
      <c r="B2" s="885"/>
      <c r="C2" s="885"/>
      <c r="D2" s="885"/>
      <c r="E2" s="886"/>
    </row>
    <row r="3" spans="1:7" ht="16.5" customHeight="1" thickBot="1" x14ac:dyDescent="0.3">
      <c r="A3" s="881" t="s">
        <v>0</v>
      </c>
      <c r="B3" s="882"/>
      <c r="C3" s="882"/>
      <c r="D3" s="882"/>
      <c r="E3" s="883"/>
    </row>
    <row r="4" spans="1:7" ht="32.25" customHeight="1" thickBot="1" x14ac:dyDescent="0.3">
      <c r="A4" s="660"/>
      <c r="B4" s="661" t="s">
        <v>5</v>
      </c>
      <c r="C4" s="668" t="s">
        <v>15</v>
      </c>
      <c r="D4" s="668" t="s">
        <v>135</v>
      </c>
      <c r="E4" s="668" t="s">
        <v>136</v>
      </c>
    </row>
    <row r="5" spans="1:7" ht="15.75" customHeight="1" x14ac:dyDescent="0.25">
      <c r="A5" s="118"/>
      <c r="B5" s="120"/>
      <c r="C5" s="120"/>
      <c r="D5" s="120"/>
      <c r="E5" s="122"/>
    </row>
    <row r="6" spans="1:7" ht="15.75" customHeight="1" x14ac:dyDescent="0.25">
      <c r="A6" s="123" t="s">
        <v>111</v>
      </c>
      <c r="B6" s="109">
        <f t="shared" ref="B6:B27" si="0">SUM(C6:E6)</f>
        <v>56224</v>
      </c>
      <c r="C6" s="109">
        <f>GUBERNATURA!G6</f>
        <v>33224</v>
      </c>
      <c r="D6" s="109">
        <f>SUM(GUBERNATURA!F14)</f>
        <v>0</v>
      </c>
      <c r="E6" s="125">
        <f>SUM(GUBERNATURA!F16)</f>
        <v>23000</v>
      </c>
      <c r="G6" s="5"/>
    </row>
    <row r="7" spans="1:7" ht="15.75" customHeight="1" x14ac:dyDescent="0.25">
      <c r="A7" s="123" t="s">
        <v>112</v>
      </c>
      <c r="B7" s="109">
        <f t="shared" si="0"/>
        <v>375071</v>
      </c>
      <c r="C7" s="109">
        <f>'S GOB.'!G6</f>
        <v>278343</v>
      </c>
      <c r="D7" s="109">
        <f>SUM('S GOB.'!F14)</f>
        <v>0</v>
      </c>
      <c r="E7" s="125">
        <f>SUM('S GOB.'!F16)</f>
        <v>96728</v>
      </c>
      <c r="G7" s="5"/>
    </row>
    <row r="8" spans="1:7" ht="15.75" customHeight="1" x14ac:dyDescent="0.25">
      <c r="A8" s="123" t="s">
        <v>113</v>
      </c>
      <c r="B8" s="109">
        <f t="shared" si="0"/>
        <v>344487</v>
      </c>
      <c r="C8" s="109">
        <f>'S HDA.'!G6</f>
        <v>88673</v>
      </c>
      <c r="D8" s="109">
        <f>SUM('S HDA.'!F13)</f>
        <v>254241</v>
      </c>
      <c r="E8" s="125">
        <f>SUM('S HDA.'!F16)</f>
        <v>1573</v>
      </c>
      <c r="G8" s="5"/>
    </row>
    <row r="9" spans="1:7" ht="15.75" customHeight="1" x14ac:dyDescent="0.25">
      <c r="A9" s="123" t="s">
        <v>114</v>
      </c>
      <c r="B9" s="109">
        <f t="shared" si="0"/>
        <v>270399</v>
      </c>
      <c r="C9" s="109">
        <f>'S ECONOM.'!G6</f>
        <v>19582</v>
      </c>
      <c r="D9" s="109">
        <f>SUM('S ECONOM.'!F13)</f>
        <v>240589</v>
      </c>
      <c r="E9" s="125">
        <f>SUM('S ECONOM.'!F16)</f>
        <v>10228</v>
      </c>
      <c r="G9" s="5"/>
    </row>
    <row r="10" spans="1:7" ht="15.75" customHeight="1" x14ac:dyDescent="0.25">
      <c r="A10" s="123" t="s">
        <v>115</v>
      </c>
      <c r="B10" s="109">
        <f t="shared" si="0"/>
        <v>79592</v>
      </c>
      <c r="C10" s="109">
        <f>'S DES.AGROP.'!G6</f>
        <v>24592</v>
      </c>
      <c r="D10" s="109">
        <f>SUM('S DES.AGROP.'!F13)</f>
        <v>55000</v>
      </c>
      <c r="E10" s="125">
        <f>SUM('S DES.AGROP.'!F16)</f>
        <v>0</v>
      </c>
      <c r="G10" s="5"/>
    </row>
    <row r="11" spans="1:7" ht="15.75" customHeight="1" x14ac:dyDescent="0.25">
      <c r="A11" s="123" t="s">
        <v>116</v>
      </c>
      <c r="B11" s="109">
        <f t="shared" si="0"/>
        <v>86828</v>
      </c>
      <c r="C11" s="109">
        <f>'S OB. PUB.'!G6</f>
        <v>41069</v>
      </c>
      <c r="D11" s="109">
        <f>SUM('S OB. PUB.'!F13)</f>
        <v>42759</v>
      </c>
      <c r="E11" s="125">
        <f>SUM('S OB. PUB.'!F17)</f>
        <v>3000</v>
      </c>
      <c r="G11" s="5"/>
    </row>
    <row r="12" spans="1:7" ht="15.75" customHeight="1" x14ac:dyDescent="0.25">
      <c r="A12" s="123" t="s">
        <v>117</v>
      </c>
      <c r="B12" s="109">
        <f t="shared" si="0"/>
        <v>7489186</v>
      </c>
      <c r="C12" s="109">
        <f>'S EDUC.'!G6</f>
        <v>18282</v>
      </c>
      <c r="D12" s="109">
        <f>SUM('S EDUC.'!F12)</f>
        <v>0</v>
      </c>
      <c r="E12" s="125">
        <f>SUM('S EDUC.'!F14)</f>
        <v>7470904</v>
      </c>
      <c r="G12" s="5"/>
    </row>
    <row r="13" spans="1:7" ht="15.75" customHeight="1" x14ac:dyDescent="0.25">
      <c r="A13" s="123" t="s">
        <v>118</v>
      </c>
      <c r="B13" s="109">
        <f t="shared" si="0"/>
        <v>2708839</v>
      </c>
      <c r="C13" s="109">
        <f>'S SALUD'!G6</f>
        <v>20325</v>
      </c>
      <c r="D13" s="109">
        <f>SUM('S SALUD'!F13)</f>
        <v>0</v>
      </c>
      <c r="E13" s="125">
        <f>SUM('S SALUD'!F15)</f>
        <v>2688514</v>
      </c>
      <c r="G13" s="5"/>
    </row>
    <row r="14" spans="1:7" ht="15.75" customHeight="1" x14ac:dyDescent="0.25">
      <c r="A14" s="123" t="s">
        <v>119</v>
      </c>
      <c r="B14" s="109">
        <f t="shared" si="0"/>
        <v>302033</v>
      </c>
      <c r="C14" s="109">
        <f>PGJ!G6</f>
        <v>275162</v>
      </c>
      <c r="D14" s="109">
        <f>SUM(PGJ!F14)</f>
        <v>0</v>
      </c>
      <c r="E14" s="125">
        <f>SUM(PGJ!F16)</f>
        <v>26871</v>
      </c>
      <c r="G14" s="5"/>
    </row>
    <row r="15" spans="1:7" ht="15.75" customHeight="1" x14ac:dyDescent="0.25">
      <c r="A15" s="123" t="s">
        <v>120</v>
      </c>
      <c r="B15" s="109">
        <f t="shared" si="0"/>
        <v>129619</v>
      </c>
      <c r="C15" s="109">
        <f>'S ADMON.'!G6</f>
        <v>69619</v>
      </c>
      <c r="D15" s="109">
        <f>SUM('S ADMON.'!F13)</f>
        <v>0</v>
      </c>
      <c r="E15" s="125">
        <f>SUM('S ADMON.'!F15)</f>
        <v>60000</v>
      </c>
      <c r="G15" s="5"/>
    </row>
    <row r="16" spans="1:7" ht="15.75" customHeight="1" x14ac:dyDescent="0.25">
      <c r="A16" s="123" t="s">
        <v>121</v>
      </c>
      <c r="B16" s="109">
        <f t="shared" si="0"/>
        <v>24000</v>
      </c>
      <c r="C16" s="109">
        <f>'S CONTRALORIA'!G6</f>
        <v>24000</v>
      </c>
      <c r="D16" s="109">
        <f>SUM('S CONTRALORIA'!F13)</f>
        <v>0</v>
      </c>
      <c r="E16" s="125">
        <f>SUM('S CONTRALORIA'!F15)</f>
        <v>0</v>
      </c>
      <c r="G16" s="5"/>
    </row>
    <row r="17" spans="1:13" ht="15.75" customHeight="1" x14ac:dyDescent="0.25">
      <c r="A17" s="123" t="s">
        <v>122</v>
      </c>
      <c r="B17" s="109">
        <f t="shared" si="0"/>
        <v>716403</v>
      </c>
      <c r="C17" s="109">
        <f>'S SEG.PUB.'!G6</f>
        <v>433491</v>
      </c>
      <c r="D17" s="109">
        <f>SUM('S SEG.PUB.'!F14)</f>
        <v>210282</v>
      </c>
      <c r="E17" s="125">
        <f>SUM('S SEG.PUB.'!F19)</f>
        <v>72630</v>
      </c>
      <c r="G17" s="5"/>
    </row>
    <row r="18" spans="1:13" ht="15.75" customHeight="1" x14ac:dyDescent="0.25">
      <c r="A18" s="123" t="s">
        <v>123</v>
      </c>
      <c r="B18" s="109">
        <f t="shared" si="0"/>
        <v>17761</v>
      </c>
      <c r="C18" s="109">
        <f>CONSEJ.JUR.!G6</f>
        <v>15714</v>
      </c>
      <c r="D18" s="109">
        <f>SUM(CONSEJ.JUR.!F13)</f>
        <v>0</v>
      </c>
      <c r="E18" s="125">
        <f>SUM(CONSEJ.JUR.!F15)</f>
        <v>2047</v>
      </c>
      <c r="G18" s="5"/>
    </row>
    <row r="19" spans="1:13" ht="15.75" customHeight="1" x14ac:dyDescent="0.25">
      <c r="A19" s="123" t="s">
        <v>124</v>
      </c>
      <c r="B19" s="109">
        <f t="shared" si="0"/>
        <v>60806.25</v>
      </c>
      <c r="C19" s="109">
        <f>'S TURISMO'!C6</f>
        <v>17578</v>
      </c>
      <c r="D19" s="109">
        <f>SUM('S TURISMO'!B13)</f>
        <v>10300</v>
      </c>
      <c r="E19" s="125">
        <f>SUM('S TURISMO'!B18)</f>
        <v>32928.25</v>
      </c>
      <c r="G19" s="887"/>
      <c r="H19" s="887"/>
      <c r="L19" s="887"/>
      <c r="M19" s="887"/>
    </row>
    <row r="20" spans="1:13" ht="15.75" customHeight="1" x14ac:dyDescent="0.25">
      <c r="A20" s="123" t="s">
        <v>125</v>
      </c>
      <c r="B20" s="109">
        <f t="shared" si="0"/>
        <v>101826</v>
      </c>
      <c r="C20" s="109">
        <f>'S DES.SOC.'!G6</f>
        <v>23577</v>
      </c>
      <c r="D20" s="109">
        <f>SUM('S DES.SOC.'!F13)</f>
        <v>53499</v>
      </c>
      <c r="E20" s="125">
        <f>SUM('S DES.SOC.'!F17)</f>
        <v>24750</v>
      </c>
      <c r="G20" s="5"/>
      <c r="H20" s="546"/>
      <c r="I20" s="5"/>
      <c r="J20" s="5"/>
      <c r="K20" s="5"/>
    </row>
    <row r="21" spans="1:13" ht="15.75" customHeight="1" x14ac:dyDescent="0.25">
      <c r="A21" s="123" t="s">
        <v>126</v>
      </c>
      <c r="B21" s="109">
        <f t="shared" si="0"/>
        <v>66621</v>
      </c>
      <c r="C21" s="109">
        <f>'S TRABAJO'!G6</f>
        <v>50590</v>
      </c>
      <c r="D21" s="109">
        <f>SUM('S TRABAJO'!F13)</f>
        <v>0</v>
      </c>
      <c r="E21" s="125">
        <f>SUM('S TRABAJO'!F15)</f>
        <v>16031</v>
      </c>
      <c r="G21" s="5"/>
      <c r="H21" s="546"/>
      <c r="I21" s="5"/>
      <c r="J21" s="5"/>
      <c r="K21" s="5"/>
      <c r="M21" s="546"/>
    </row>
    <row r="22" spans="1:13" ht="15.75" customHeight="1" x14ac:dyDescent="0.25">
      <c r="A22" s="123" t="s">
        <v>127</v>
      </c>
      <c r="B22" s="109">
        <f t="shared" si="0"/>
        <v>74324</v>
      </c>
      <c r="C22" s="109">
        <f>'S CULT'!G6</f>
        <v>40000</v>
      </c>
      <c r="D22" s="109">
        <f>SUM('S CULT'!F13)</f>
        <v>16000</v>
      </c>
      <c r="E22" s="125">
        <f>SUM('S CULT'!F16)</f>
        <v>18324</v>
      </c>
      <c r="G22" s="5"/>
      <c r="H22" s="546"/>
      <c r="I22" s="5"/>
      <c r="J22" s="5"/>
      <c r="K22" s="5"/>
      <c r="M22" s="546"/>
    </row>
    <row r="23" spans="1:13" ht="15.75" customHeight="1" x14ac:dyDescent="0.25">
      <c r="A23" s="123" t="s">
        <v>128</v>
      </c>
      <c r="B23" s="109">
        <f t="shared" si="0"/>
        <v>134662</v>
      </c>
      <c r="C23" s="109">
        <f>'S DES. SUST.'!G6</f>
        <v>49662</v>
      </c>
      <c r="D23" s="109">
        <f>SUM('S DES. SUST.'!F13)</f>
        <v>55000</v>
      </c>
      <c r="E23" s="125">
        <f>SUM('S DES. SUST.'!F16)</f>
        <v>30000</v>
      </c>
      <c r="G23" s="5"/>
      <c r="H23" s="546"/>
      <c r="I23" s="5"/>
      <c r="J23" s="5"/>
      <c r="K23" s="5"/>
      <c r="M23" s="546"/>
    </row>
    <row r="24" spans="1:13" ht="15.75" customHeight="1" x14ac:dyDescent="0.25">
      <c r="A24" s="123" t="s">
        <v>129</v>
      </c>
      <c r="B24" s="109">
        <f t="shared" si="0"/>
        <v>132340</v>
      </c>
      <c r="C24" s="109">
        <f>'S INF.COMUN.'!G6</f>
        <v>132340</v>
      </c>
      <c r="D24" s="109">
        <f>SUM('S INF.COMUN.'!F13)</f>
        <v>0</v>
      </c>
      <c r="E24" s="125">
        <f>SUM('S INF.COMUN.'!F15)</f>
        <v>0</v>
      </c>
      <c r="G24" s="5"/>
      <c r="H24" s="546"/>
      <c r="I24" s="5"/>
      <c r="J24" s="5"/>
      <c r="K24" s="5"/>
      <c r="M24" s="546"/>
    </row>
    <row r="25" spans="1:13" ht="15.75" customHeight="1" x14ac:dyDescent="0.25">
      <c r="A25" s="123" t="s">
        <v>130</v>
      </c>
      <c r="B25" s="109">
        <f t="shared" si="0"/>
        <v>32537</v>
      </c>
      <c r="C25" s="109">
        <f>'S INNOV.'!G6</f>
        <v>21537</v>
      </c>
      <c r="D25" s="109">
        <f>SUM('S INNOV.'!F13)</f>
        <v>0</v>
      </c>
      <c r="E25" s="125">
        <f>SUM('S INNOV.'!F15)</f>
        <v>11000</v>
      </c>
      <c r="G25" s="5"/>
      <c r="H25" s="546"/>
      <c r="M25" s="546"/>
    </row>
    <row r="26" spans="1:13" ht="15.75" customHeight="1" x14ac:dyDescent="0.25">
      <c r="A26" s="123" t="s">
        <v>131</v>
      </c>
      <c r="B26" s="109">
        <f t="shared" si="0"/>
        <v>38822</v>
      </c>
      <c r="C26" s="109">
        <f>'S MOV.TRANSP.'!G6</f>
        <v>38822</v>
      </c>
      <c r="D26" s="109">
        <f>SUM('S MOV.TRANSP.'!F13)</f>
        <v>0</v>
      </c>
      <c r="E26" s="125">
        <f>SUM('S MOV.TRANSP.'!F15)</f>
        <v>0</v>
      </c>
      <c r="G26" s="5"/>
      <c r="H26" s="546"/>
      <c r="M26" s="546"/>
    </row>
    <row r="27" spans="1:13" ht="15.75" customHeight="1" x14ac:dyDescent="0.25">
      <c r="A27" s="123" t="s">
        <v>137</v>
      </c>
      <c r="B27" s="109">
        <f t="shared" si="0"/>
        <v>687222</v>
      </c>
      <c r="C27" s="158">
        <v>0</v>
      </c>
      <c r="D27" s="157">
        <v>0</v>
      </c>
      <c r="E27" s="125">
        <f>'anexo 8 '!B92</f>
        <v>687222</v>
      </c>
      <c r="G27" s="5"/>
      <c r="H27" s="546"/>
      <c r="I27" s="5"/>
      <c r="J27" s="5"/>
      <c r="K27" s="5"/>
      <c r="M27" s="546"/>
    </row>
    <row r="28" spans="1:13" ht="15.75" customHeight="1" x14ac:dyDescent="0.25">
      <c r="A28" s="435" t="s">
        <v>132</v>
      </c>
      <c r="B28" s="438">
        <f>SUM(B6:B27)</f>
        <v>13929602.25</v>
      </c>
      <c r="C28" s="438">
        <f>SUM(C6:C27)</f>
        <v>1716182</v>
      </c>
      <c r="D28" s="438">
        <f>SUM(D6:D27)</f>
        <v>937670</v>
      </c>
      <c r="E28" s="434">
        <f>SUM(E6:E27)</f>
        <v>11275750.25</v>
      </c>
      <c r="G28" s="5"/>
      <c r="H28" s="5"/>
      <c r="M28" s="546"/>
    </row>
    <row r="29" spans="1:13" ht="15.75" customHeight="1" x14ac:dyDescent="0.25">
      <c r="A29" s="123" t="s">
        <v>16</v>
      </c>
      <c r="B29" s="109">
        <v>15000</v>
      </c>
      <c r="C29" s="157"/>
      <c r="D29" s="109"/>
      <c r="E29" s="125">
        <v>0</v>
      </c>
    </row>
    <row r="30" spans="1:13" ht="16.5" customHeight="1" thickBot="1" x14ac:dyDescent="0.3">
      <c r="A30" s="131" t="s">
        <v>23</v>
      </c>
      <c r="B30" s="132">
        <f>anexo9!F33</f>
        <v>577184</v>
      </c>
      <c r="C30" s="151"/>
      <c r="D30" s="132"/>
      <c r="E30" s="135"/>
    </row>
    <row r="31" spans="1:13" ht="16.5" customHeight="1" thickBot="1" x14ac:dyDescent="0.3">
      <c r="A31" s="594" t="s">
        <v>133</v>
      </c>
      <c r="B31" s="592">
        <f>SUM(B28:B30)</f>
        <v>14521786.25</v>
      </c>
      <c r="C31" s="592">
        <f>SUM(C28:C30)</f>
        <v>1716182</v>
      </c>
      <c r="D31" s="592">
        <f>SUM(D28:D30)</f>
        <v>937670</v>
      </c>
      <c r="E31" s="592">
        <f>SUM(E28:E30)</f>
        <v>11275750.25</v>
      </c>
    </row>
    <row r="34" spans="2:3" ht="15" customHeight="1" x14ac:dyDescent="0.25">
      <c r="B34" s="5"/>
      <c r="C34" s="5"/>
    </row>
    <row r="35" spans="2:3" ht="15" customHeight="1" x14ac:dyDescent="0.25">
      <c r="C35" s="5"/>
    </row>
    <row r="36" spans="2:3" ht="15" customHeight="1" x14ac:dyDescent="0.25">
      <c r="B36" s="5"/>
      <c r="C36" s="5"/>
    </row>
    <row r="38" spans="2:3" ht="15" customHeight="1" x14ac:dyDescent="0.25">
      <c r="C38" s="5"/>
    </row>
    <row r="42" spans="2:3" ht="15" customHeight="1" x14ac:dyDescent="0.25">
      <c r="C42" s="5"/>
    </row>
  </sheetData>
  <mergeCells count="5">
    <mergeCell ref="A1:E1"/>
    <mergeCell ref="A3:E3"/>
    <mergeCell ref="A2:E2"/>
    <mergeCell ref="L19:M19"/>
    <mergeCell ref="G19:H19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pane ySplit="5" topLeftCell="A21" activePane="bottomLeft" state="frozen"/>
      <selection activeCell="B31" sqref="B31:C31"/>
      <selection pane="bottomLeft" activeCell="F34" sqref="F34"/>
    </sheetView>
  </sheetViews>
  <sheetFormatPr baseColWidth="10" defaultColWidth="11.42578125" defaultRowHeight="15" customHeight="1" x14ac:dyDescent="0.25"/>
  <cols>
    <col min="1" max="1" width="36.85546875" bestFit="1" customWidth="1"/>
    <col min="2" max="2" width="13.140625" hidden="1" customWidth="1"/>
    <col min="3" max="3" width="12.7109375" hidden="1" customWidth="1"/>
    <col min="4" max="4" width="13" hidden="1" customWidth="1"/>
    <col min="5" max="5" width="11.5703125" hidden="1" customWidth="1"/>
    <col min="6" max="6" width="13.7109375" customWidth="1"/>
  </cols>
  <sheetData>
    <row r="1" spans="1:9" ht="21.95" customHeight="1" x14ac:dyDescent="0.3">
      <c r="A1" s="888" t="s">
        <v>14</v>
      </c>
      <c r="B1" s="889"/>
      <c r="C1" s="889"/>
      <c r="D1" s="889"/>
      <c r="E1" s="889"/>
      <c r="F1" s="889"/>
      <c r="G1" s="889"/>
      <c r="H1" s="889"/>
      <c r="I1" s="890"/>
    </row>
    <row r="2" spans="1:9" ht="21.95" customHeight="1" x14ac:dyDescent="0.25">
      <c r="A2" s="891" t="s">
        <v>138</v>
      </c>
      <c r="B2" s="892"/>
      <c r="C2" s="892"/>
      <c r="D2" s="892"/>
      <c r="E2" s="892"/>
      <c r="F2" s="892"/>
      <c r="G2" s="892"/>
      <c r="H2" s="892"/>
      <c r="I2" s="893"/>
    </row>
    <row r="3" spans="1:9" ht="21.95" customHeight="1" thickBot="1" x14ac:dyDescent="0.3">
      <c r="A3" s="901" t="s">
        <v>0</v>
      </c>
      <c r="B3" s="902"/>
      <c r="C3" s="902"/>
      <c r="D3" s="902"/>
      <c r="E3" s="902"/>
      <c r="F3" s="902"/>
      <c r="G3" s="902"/>
      <c r="H3" s="902"/>
      <c r="I3" s="903"/>
    </row>
    <row r="4" spans="1:9" ht="21.95" customHeight="1" thickBot="1" x14ac:dyDescent="0.3">
      <c r="A4" s="894" t="s">
        <v>1</v>
      </c>
      <c r="B4" s="896">
        <v>2010</v>
      </c>
      <c r="C4" s="897"/>
      <c r="D4" s="896">
        <v>2011</v>
      </c>
      <c r="E4" s="897"/>
      <c r="F4" s="898" t="s">
        <v>343</v>
      </c>
      <c r="G4" s="899"/>
      <c r="H4" s="899"/>
      <c r="I4" s="900"/>
    </row>
    <row r="5" spans="1:9" ht="21.95" customHeight="1" thickBot="1" x14ac:dyDescent="0.3">
      <c r="A5" s="895"/>
      <c r="B5" s="3" t="s">
        <v>3</v>
      </c>
      <c r="C5" s="3" t="s">
        <v>4</v>
      </c>
      <c r="D5" s="3" t="s">
        <v>3</v>
      </c>
      <c r="E5" s="3" t="s">
        <v>4</v>
      </c>
      <c r="F5" s="72" t="s">
        <v>5</v>
      </c>
      <c r="G5" s="95" t="s">
        <v>6</v>
      </c>
      <c r="H5" s="95" t="s">
        <v>7</v>
      </c>
      <c r="I5" s="95" t="s">
        <v>8</v>
      </c>
    </row>
    <row r="6" spans="1:9" ht="21.95" customHeight="1" x14ac:dyDescent="0.25">
      <c r="A6" s="138"/>
      <c r="B6" s="139"/>
      <c r="C6" s="139"/>
      <c r="D6" s="140"/>
      <c r="E6" s="141"/>
      <c r="F6" s="140"/>
      <c r="G6" s="140"/>
      <c r="H6" s="140"/>
      <c r="I6" s="142"/>
    </row>
    <row r="7" spans="1:9" ht="21.95" customHeight="1" x14ac:dyDescent="0.25">
      <c r="A7" s="123" t="s">
        <v>111</v>
      </c>
      <c r="B7" s="109">
        <f>GUBERNATURA!B7</f>
        <v>25795</v>
      </c>
      <c r="C7" s="109">
        <f>GUBERNATURA!C7</f>
        <v>27834</v>
      </c>
      <c r="D7" s="109">
        <f>GUBERNATURA!D7</f>
        <v>34102</v>
      </c>
      <c r="E7" s="109">
        <f>GUBERNATURA!E7</f>
        <v>35442</v>
      </c>
      <c r="F7" s="109">
        <f t="shared" ref="F7:F27" si="0">SUM(G7:I7)</f>
        <v>25795</v>
      </c>
      <c r="G7" s="109">
        <f>GUBERNATURA!G7</f>
        <v>25795</v>
      </c>
      <c r="H7" s="109">
        <f>GUBERNATURA!H7</f>
        <v>0</v>
      </c>
      <c r="I7" s="125">
        <f>GUBERNATURA!I7</f>
        <v>0</v>
      </c>
    </row>
    <row r="8" spans="1:9" ht="21.95" customHeight="1" x14ac:dyDescent="0.25">
      <c r="A8" s="123" t="s">
        <v>112</v>
      </c>
      <c r="B8" s="109">
        <f>'S GOB.'!B7</f>
        <v>66771</v>
      </c>
      <c r="C8" s="109">
        <f>'S GOB.'!C7</f>
        <v>82673</v>
      </c>
      <c r="D8" s="109">
        <f>'S GOB.'!D7</f>
        <v>90870</v>
      </c>
      <c r="E8" s="109">
        <f>'S GOB.'!E7</f>
        <v>87590</v>
      </c>
      <c r="F8" s="109">
        <f t="shared" si="0"/>
        <v>46771</v>
      </c>
      <c r="G8" s="109">
        <f>'S GOB.'!G7</f>
        <v>46771</v>
      </c>
      <c r="H8" s="109">
        <f>'S GOB.'!H7</f>
        <v>0</v>
      </c>
      <c r="I8" s="125">
        <f>'S GOB.'!I7</f>
        <v>0</v>
      </c>
    </row>
    <row r="9" spans="1:9" ht="21.95" customHeight="1" x14ac:dyDescent="0.25">
      <c r="A9" s="123" t="s">
        <v>113</v>
      </c>
      <c r="B9" s="109">
        <f>'S HDA.'!B7</f>
        <v>100180</v>
      </c>
      <c r="C9" s="109">
        <f>'S HDA.'!C7</f>
        <v>111368</v>
      </c>
      <c r="D9" s="109">
        <f>'S HDA.'!D7</f>
        <v>128253</v>
      </c>
      <c r="E9" s="109">
        <f>'S HDA.'!E7</f>
        <v>127433</v>
      </c>
      <c r="F9" s="109">
        <f t="shared" si="0"/>
        <v>75088</v>
      </c>
      <c r="G9" s="109">
        <f>'S HDA.'!G7</f>
        <v>75088</v>
      </c>
      <c r="H9" s="109">
        <f>'S HDA.'!H7</f>
        <v>0</v>
      </c>
      <c r="I9" s="125">
        <f>'S HDA.'!I7</f>
        <v>0</v>
      </c>
    </row>
    <row r="10" spans="1:9" ht="21.95" customHeight="1" x14ac:dyDescent="0.25">
      <c r="A10" s="123" t="s">
        <v>114</v>
      </c>
      <c r="B10" s="109">
        <f>'S ECONOM.'!B7</f>
        <v>16440</v>
      </c>
      <c r="C10" s="109">
        <f>'S ECONOM.'!C7</f>
        <v>17216</v>
      </c>
      <c r="D10" s="109">
        <f>'S ECONOM.'!D7</f>
        <v>16868</v>
      </c>
      <c r="E10" s="109">
        <f>'S ECONOM.'!E7</f>
        <v>18256</v>
      </c>
      <c r="F10" s="109">
        <f t="shared" si="0"/>
        <v>16440</v>
      </c>
      <c r="G10" s="109">
        <f>'S ECONOM.'!G7</f>
        <v>16440</v>
      </c>
      <c r="H10" s="109">
        <f>'S ECONOM.'!H7</f>
        <v>0</v>
      </c>
      <c r="I10" s="125">
        <f>'S ECONOM.'!I7</f>
        <v>0</v>
      </c>
    </row>
    <row r="11" spans="1:9" ht="21.95" customHeight="1" x14ac:dyDescent="0.25">
      <c r="A11" s="123" t="s">
        <v>115</v>
      </c>
      <c r="B11" s="109">
        <f>'S DES.AGROP.'!B7</f>
        <v>23271</v>
      </c>
      <c r="C11" s="109">
        <f>'S DES.AGROP.'!C7</f>
        <v>25915</v>
      </c>
      <c r="D11" s="109">
        <f>'S DES.AGROP.'!D7</f>
        <v>25733</v>
      </c>
      <c r="E11" s="109">
        <f>'S DES.AGROP.'!E7</f>
        <v>26667</v>
      </c>
      <c r="F11" s="109">
        <f t="shared" si="0"/>
        <v>23271</v>
      </c>
      <c r="G11" s="109">
        <f>'S DES.AGROP.'!G7</f>
        <v>23271</v>
      </c>
      <c r="H11" s="109">
        <f>'S DES.AGROP.'!H7</f>
        <v>0</v>
      </c>
      <c r="I11" s="125">
        <f>'S DES.AGROP.'!I7</f>
        <v>0</v>
      </c>
    </row>
    <row r="12" spans="1:9" ht="21.95" customHeight="1" x14ac:dyDescent="0.25">
      <c r="A12" s="123" t="s">
        <v>116</v>
      </c>
      <c r="B12" s="109">
        <f>'S OB. PUB.'!B7</f>
        <v>37481</v>
      </c>
      <c r="C12" s="109">
        <f>'S OB. PUB.'!C7</f>
        <v>42419</v>
      </c>
      <c r="D12" s="109">
        <f>'S OB. PUB.'!D7</f>
        <v>42800</v>
      </c>
      <c r="E12" s="109">
        <f>'S OB. PUB.'!E7</f>
        <v>51310</v>
      </c>
      <c r="F12" s="109">
        <f t="shared" si="0"/>
        <v>37481</v>
      </c>
      <c r="G12" s="109">
        <f>'S OB. PUB.'!G7</f>
        <v>37481</v>
      </c>
      <c r="H12" s="109">
        <f>'S OB. PUB.'!H7</f>
        <v>0</v>
      </c>
      <c r="I12" s="125">
        <f>'S OB. PUB.'!I7</f>
        <v>0</v>
      </c>
    </row>
    <row r="13" spans="1:9" ht="21.95" customHeight="1" x14ac:dyDescent="0.25">
      <c r="A13" s="123" t="s">
        <v>117</v>
      </c>
      <c r="B13" s="109">
        <f>'S EDUC.'!B7</f>
        <v>16728</v>
      </c>
      <c r="C13" s="109">
        <f>'S EDUC.'!C7</f>
        <v>16015</v>
      </c>
      <c r="D13" s="109">
        <f>'S EDUC.'!D7</f>
        <v>17259</v>
      </c>
      <c r="E13" s="109">
        <f>'S EDUC.'!E7</f>
        <v>18097</v>
      </c>
      <c r="F13" s="109">
        <f t="shared" si="0"/>
        <v>16728</v>
      </c>
      <c r="G13" s="109">
        <f>'S EDUC.'!G7</f>
        <v>16728</v>
      </c>
      <c r="H13" s="109">
        <f>'S EDUC.'!H7</f>
        <v>0</v>
      </c>
      <c r="I13" s="125">
        <f>'S EDUC.'!I7</f>
        <v>0</v>
      </c>
    </row>
    <row r="14" spans="1:9" ht="21.95" customHeight="1" x14ac:dyDescent="0.25">
      <c r="A14" s="123" t="s">
        <v>118</v>
      </c>
      <c r="B14" s="109">
        <f>'S SALUD'!B7</f>
        <v>8241</v>
      </c>
      <c r="C14" s="109">
        <f>'S SALUD'!C7</f>
        <v>8934</v>
      </c>
      <c r="D14" s="109">
        <f>'S SALUD'!D7</f>
        <v>8841</v>
      </c>
      <c r="E14" s="109">
        <f>'S SALUD'!E7</f>
        <v>9635</v>
      </c>
      <c r="F14" s="109">
        <f t="shared" si="0"/>
        <v>18325</v>
      </c>
      <c r="G14" s="109">
        <f>'S SALUD'!G7</f>
        <v>18325</v>
      </c>
      <c r="H14" s="109">
        <f>'S SALUD'!H7</f>
        <v>0</v>
      </c>
      <c r="I14" s="125">
        <f>'S SALUD'!I7</f>
        <v>0</v>
      </c>
    </row>
    <row r="15" spans="1:9" ht="21.95" customHeight="1" x14ac:dyDescent="0.25">
      <c r="A15" s="123" t="s">
        <v>119</v>
      </c>
      <c r="B15" s="109">
        <f>PGJ!B7</f>
        <v>220328</v>
      </c>
      <c r="C15" s="109">
        <f>PGJ!C7</f>
        <v>248330</v>
      </c>
      <c r="D15" s="109">
        <f>PGJ!D7</f>
        <v>245568</v>
      </c>
      <c r="E15" s="109">
        <f>PGJ!E7</f>
        <v>264063</v>
      </c>
      <c r="F15" s="109">
        <f t="shared" si="0"/>
        <v>200000</v>
      </c>
      <c r="G15" s="109">
        <f>PGJ!G7</f>
        <v>200000</v>
      </c>
      <c r="H15" s="109">
        <f>PGJ!H7</f>
        <v>0</v>
      </c>
      <c r="I15" s="125">
        <f>PGJ!I7</f>
        <v>0</v>
      </c>
    </row>
    <row r="16" spans="1:9" ht="21.95" customHeight="1" x14ac:dyDescent="0.25">
      <c r="A16" s="123" t="s">
        <v>120</v>
      </c>
      <c r="B16" s="109">
        <f>'S ADMON.'!B7</f>
        <v>65575</v>
      </c>
      <c r="C16" s="109">
        <f>'S ADMON.'!C7</f>
        <v>68509</v>
      </c>
      <c r="D16" s="109">
        <f>'S ADMON.'!D7</f>
        <v>72118</v>
      </c>
      <c r="E16" s="109">
        <f>'S ADMON.'!E7</f>
        <v>74478</v>
      </c>
      <c r="F16" s="109">
        <f t="shared" si="0"/>
        <v>60575</v>
      </c>
      <c r="G16" s="109">
        <f>'S ADMON.'!G7</f>
        <v>60575</v>
      </c>
      <c r="H16" s="109">
        <f>'S ADMON.'!H7</f>
        <v>0</v>
      </c>
      <c r="I16" s="125">
        <f>'S ADMON.'!I7</f>
        <v>0</v>
      </c>
    </row>
    <row r="17" spans="1:9" ht="21.95" customHeight="1" x14ac:dyDescent="0.25">
      <c r="A17" s="123" t="s">
        <v>121</v>
      </c>
      <c r="B17" s="109">
        <f>'S CONTRALORIA'!B7</f>
        <v>20857</v>
      </c>
      <c r="C17" s="109">
        <f>'S CONTRALORIA'!C7</f>
        <v>25405</v>
      </c>
      <c r="D17" s="109">
        <f>'S CONTRALORIA'!D7</f>
        <v>25096</v>
      </c>
      <c r="E17" s="109">
        <f>'S CONTRALORIA'!E7</f>
        <v>31616</v>
      </c>
      <c r="F17" s="109">
        <f t="shared" si="0"/>
        <v>20957</v>
      </c>
      <c r="G17" s="109">
        <f>'S CONTRALORIA'!G7</f>
        <v>20957</v>
      </c>
      <c r="H17" s="109">
        <f>'S CONTRALORIA'!H7</f>
        <v>0</v>
      </c>
      <c r="I17" s="125">
        <f>'S CONTRALORIA'!I7</f>
        <v>0</v>
      </c>
    </row>
    <row r="18" spans="1:9" ht="21.95" customHeight="1" x14ac:dyDescent="0.25">
      <c r="A18" s="123" t="s">
        <v>122</v>
      </c>
      <c r="B18" s="109">
        <f>'S SEG.PUB.'!B7</f>
        <v>238985</v>
      </c>
      <c r="C18" s="109">
        <f>'S SEG.PUB.'!C7</f>
        <v>263925</v>
      </c>
      <c r="D18" s="109">
        <f>'S SEG.PUB.'!D7</f>
        <v>323244</v>
      </c>
      <c r="E18" s="109">
        <f>'S SEG.PUB.'!E7</f>
        <v>280252</v>
      </c>
      <c r="F18" s="109">
        <f t="shared" si="0"/>
        <v>293130</v>
      </c>
      <c r="G18" s="109">
        <f>'S SEG.PUB.'!G7</f>
        <v>293130</v>
      </c>
      <c r="H18" s="109">
        <f>'S SEG.PUB.'!H7</f>
        <v>0</v>
      </c>
      <c r="I18" s="125">
        <f>'S SEG.PUB.'!I7</f>
        <v>0</v>
      </c>
    </row>
    <row r="19" spans="1:9" ht="21.95" customHeight="1" x14ac:dyDescent="0.25">
      <c r="A19" s="123" t="s">
        <v>123</v>
      </c>
      <c r="B19" s="109">
        <f>CONSEJ.JUR.!B7</f>
        <v>11417</v>
      </c>
      <c r="C19" s="109">
        <f>CONSEJ.JUR.!C7</f>
        <v>11213</v>
      </c>
      <c r="D19" s="109">
        <f>CONSEJ.JUR.!D7</f>
        <v>12048</v>
      </c>
      <c r="E19" s="109">
        <f>CONSEJ.JUR.!E7</f>
        <v>13998</v>
      </c>
      <c r="F19" s="109">
        <f t="shared" si="0"/>
        <v>13817</v>
      </c>
      <c r="G19" s="109">
        <f>CONSEJ.JUR.!G7</f>
        <v>13817</v>
      </c>
      <c r="H19" s="109">
        <f>CONSEJ.JUR.!H7</f>
        <v>0</v>
      </c>
      <c r="I19" s="125">
        <f>CONSEJ.JUR.!I7</f>
        <v>0</v>
      </c>
    </row>
    <row r="20" spans="1:9" ht="21.95" customHeight="1" x14ac:dyDescent="0.25">
      <c r="A20" s="123" t="s">
        <v>124</v>
      </c>
      <c r="B20" s="109" t="e">
        <f>'S TURISMO'!#REF!</f>
        <v>#REF!</v>
      </c>
      <c r="C20" s="109" t="e">
        <f>'S TURISMO'!#REF!</f>
        <v>#REF!</v>
      </c>
      <c r="D20" s="109" t="e">
        <f>'S TURISMO'!#REF!</f>
        <v>#REF!</v>
      </c>
      <c r="E20" s="109" t="e">
        <f>'S TURISMO'!#REF!</f>
        <v>#REF!</v>
      </c>
      <c r="F20" s="109">
        <f t="shared" si="0"/>
        <v>14193</v>
      </c>
      <c r="G20" s="109">
        <f>'S TURISMO'!C7</f>
        <v>14193</v>
      </c>
      <c r="H20" s="109">
        <f>'S TURISMO'!D7</f>
        <v>0</v>
      </c>
      <c r="I20" s="125">
        <f>'S TURISMO'!E7</f>
        <v>0</v>
      </c>
    </row>
    <row r="21" spans="1:9" ht="21.95" customHeight="1" x14ac:dyDescent="0.25">
      <c r="A21" s="123" t="s">
        <v>125</v>
      </c>
      <c r="B21" s="109">
        <f>'S DES.SOC.'!B7</f>
        <v>11749</v>
      </c>
      <c r="C21" s="109">
        <f>'S DES.SOC.'!C7</f>
        <v>20092</v>
      </c>
      <c r="D21" s="109">
        <f>'S DES.SOC.'!D7</f>
        <v>22098</v>
      </c>
      <c r="E21" s="109">
        <f>'S DES.SOC.'!E7</f>
        <v>23854</v>
      </c>
      <c r="F21" s="109">
        <f t="shared" si="0"/>
        <v>20092</v>
      </c>
      <c r="G21" s="109">
        <f>'S DES.SOC.'!G7</f>
        <v>20092</v>
      </c>
      <c r="H21" s="109">
        <f>'S DES.SOC.'!H7</f>
        <v>0</v>
      </c>
      <c r="I21" s="125">
        <f>'S DES.SOC.'!I7</f>
        <v>0</v>
      </c>
    </row>
    <row r="22" spans="1:9" ht="21.95" customHeight="1" x14ac:dyDescent="0.25">
      <c r="A22" s="123" t="s">
        <v>126</v>
      </c>
      <c r="B22" s="109">
        <f>'S TRABAJO'!B7</f>
        <v>18003</v>
      </c>
      <c r="C22" s="109">
        <f>'S TRABAJO'!C7</f>
        <v>32401</v>
      </c>
      <c r="D22" s="109">
        <f>'S TRABAJO'!D7</f>
        <v>32589</v>
      </c>
      <c r="E22" s="109">
        <f>'S TRABAJO'!E7</f>
        <v>34530</v>
      </c>
      <c r="F22" s="109">
        <f t="shared" si="0"/>
        <v>44556</v>
      </c>
      <c r="G22" s="109">
        <f>'S TRABAJO'!G7</f>
        <v>44556</v>
      </c>
      <c r="H22" s="109">
        <f>'S TRABAJO'!H7</f>
        <v>0</v>
      </c>
      <c r="I22" s="125">
        <f>'S TRABAJO'!I7</f>
        <v>0</v>
      </c>
    </row>
    <row r="23" spans="1:9" ht="21.95" customHeight="1" x14ac:dyDescent="0.25">
      <c r="A23" s="123" t="s">
        <v>127</v>
      </c>
      <c r="B23" s="143"/>
      <c r="C23" s="143"/>
      <c r="D23" s="109"/>
      <c r="E23" s="130"/>
      <c r="F23" s="109">
        <f t="shared" si="0"/>
        <v>38883</v>
      </c>
      <c r="G23" s="109">
        <f>SUM('S CULT'!G7)</f>
        <v>38883</v>
      </c>
      <c r="H23" s="109">
        <f>SUM('S CULT'!H7)</f>
        <v>0</v>
      </c>
      <c r="I23" s="125">
        <f>SUM('S CULT'!I7)</f>
        <v>0</v>
      </c>
    </row>
    <row r="24" spans="1:9" ht="21.95" customHeight="1" x14ac:dyDescent="0.25">
      <c r="A24" s="123" t="s">
        <v>128</v>
      </c>
      <c r="B24" s="143"/>
      <c r="C24" s="143"/>
      <c r="D24" s="109"/>
      <c r="E24" s="130"/>
      <c r="F24" s="109">
        <f t="shared" si="0"/>
        <v>40000</v>
      </c>
      <c r="G24" s="109">
        <f>SUM('S DES. SUST.'!G7)</f>
        <v>40000</v>
      </c>
      <c r="H24" s="109">
        <f>SUM('S DES. SUST.'!H7)</f>
        <v>0</v>
      </c>
      <c r="I24" s="125">
        <f>SUM('S DES. SUST.'!I7)</f>
        <v>0</v>
      </c>
    </row>
    <row r="25" spans="1:9" ht="21.95" customHeight="1" x14ac:dyDescent="0.25">
      <c r="A25" s="123" t="s">
        <v>129</v>
      </c>
      <c r="B25" s="143"/>
      <c r="C25" s="143"/>
      <c r="D25" s="109"/>
      <c r="E25" s="130"/>
      <c r="F25" s="109">
        <f t="shared" si="0"/>
        <v>36873</v>
      </c>
      <c r="G25" s="109">
        <f>SUM('S INF.COMUN.'!G7)</f>
        <v>36873</v>
      </c>
      <c r="H25" s="109">
        <f>SUM('S INF.COMUN.'!H7)</f>
        <v>0</v>
      </c>
      <c r="I25" s="125">
        <f>SUM('S INF.COMUN.'!I7)</f>
        <v>0</v>
      </c>
    </row>
    <row r="26" spans="1:9" ht="21.95" customHeight="1" x14ac:dyDescent="0.25">
      <c r="A26" s="123" t="s">
        <v>130</v>
      </c>
      <c r="B26" s="143"/>
      <c r="C26" s="143"/>
      <c r="D26" s="109"/>
      <c r="E26" s="130"/>
      <c r="F26" s="109">
        <f t="shared" si="0"/>
        <v>13984</v>
      </c>
      <c r="G26" s="109">
        <f>SUM('S INNOV.'!G7)</f>
        <v>13984</v>
      </c>
      <c r="H26" s="109">
        <f>SUM('S INNOV.'!H7)</f>
        <v>0</v>
      </c>
      <c r="I26" s="125">
        <f>SUM('S INNOV.'!I7)</f>
        <v>0</v>
      </c>
    </row>
    <row r="27" spans="1:9" ht="21.95" customHeight="1" x14ac:dyDescent="0.25">
      <c r="A27" s="123" t="s">
        <v>131</v>
      </c>
      <c r="B27" s="143"/>
      <c r="C27" s="143"/>
      <c r="D27" s="109"/>
      <c r="E27" s="130"/>
      <c r="F27" s="109">
        <f t="shared" si="0"/>
        <v>33055</v>
      </c>
      <c r="G27" s="109">
        <f>SUM('S MOV.TRANSP.'!G7)</f>
        <v>33055</v>
      </c>
      <c r="H27" s="109">
        <f>SUM('S MOV.TRANSP.'!H7)</f>
        <v>0</v>
      </c>
      <c r="I27" s="125">
        <f>SUM('S MOV.TRANSP.'!I7)</f>
        <v>0</v>
      </c>
    </row>
    <row r="28" spans="1:9" ht="21.95" customHeight="1" thickBot="1" x14ac:dyDescent="0.3">
      <c r="A28" s="144"/>
      <c r="B28" s="145"/>
      <c r="C28" s="145"/>
      <c r="D28" s="146"/>
      <c r="E28" s="147"/>
      <c r="F28" s="146"/>
      <c r="G28" s="146"/>
      <c r="H28" s="146"/>
      <c r="I28" s="148"/>
    </row>
    <row r="29" spans="1:9" ht="21.95" customHeight="1" thickBot="1" x14ac:dyDescent="0.3">
      <c r="A29" s="594" t="s">
        <v>133</v>
      </c>
      <c r="B29" s="620" t="e">
        <f t="shared" ref="B29:I29" si="1">SUM(B7:B28)</f>
        <v>#REF!</v>
      </c>
      <c r="C29" s="620" t="e">
        <f t="shared" si="1"/>
        <v>#REF!</v>
      </c>
      <c r="D29" s="620" t="e">
        <f t="shared" si="1"/>
        <v>#REF!</v>
      </c>
      <c r="E29" s="620" t="e">
        <f t="shared" si="1"/>
        <v>#REF!</v>
      </c>
      <c r="F29" s="592">
        <f t="shared" si="1"/>
        <v>1090014</v>
      </c>
      <c r="G29" s="592">
        <f t="shared" si="1"/>
        <v>1090014</v>
      </c>
      <c r="H29" s="592">
        <f t="shared" si="1"/>
        <v>0</v>
      </c>
      <c r="I29" s="592">
        <f t="shared" si="1"/>
        <v>0</v>
      </c>
    </row>
    <row r="30" spans="1:9" ht="21.95" customHeight="1" x14ac:dyDescent="0.25"/>
    <row r="32" spans="1:9" ht="15" customHeight="1" x14ac:dyDescent="0.25">
      <c r="D32" s="5"/>
      <c r="E32" s="5"/>
      <c r="F32" s="5"/>
    </row>
  </sheetData>
  <mergeCells count="7">
    <mergeCell ref="A1:I1"/>
    <mergeCell ref="A2:I2"/>
    <mergeCell ref="A4:A5"/>
    <mergeCell ref="B4:C4"/>
    <mergeCell ref="D4:E4"/>
    <mergeCell ref="F4:I4"/>
    <mergeCell ref="A3:I3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ySplit="4" topLeftCell="A20" activePane="bottomLeft" state="frozen"/>
      <selection activeCell="F34" sqref="F34"/>
      <selection pane="bottomLeft" activeCell="F34" sqref="F34"/>
    </sheetView>
  </sheetViews>
  <sheetFormatPr baseColWidth="10" defaultColWidth="11.42578125" defaultRowHeight="15" customHeight="1" x14ac:dyDescent="0.25"/>
  <cols>
    <col min="1" max="1" width="36.42578125" customWidth="1"/>
    <col min="2" max="2" width="14.28515625" hidden="1" customWidth="1"/>
    <col min="3" max="3" width="12.140625" hidden="1" customWidth="1"/>
    <col min="4" max="4" width="13.140625" hidden="1" customWidth="1"/>
    <col min="5" max="5" width="9.7109375" hidden="1" customWidth="1"/>
    <col min="6" max="6" width="13.5703125" customWidth="1"/>
  </cols>
  <sheetData>
    <row r="1" spans="1:9" ht="21.95" customHeight="1" thickBot="1" x14ac:dyDescent="0.3">
      <c r="A1" s="809" t="s">
        <v>14</v>
      </c>
      <c r="B1" s="810"/>
      <c r="C1" s="810"/>
      <c r="D1" s="810"/>
      <c r="E1" s="810"/>
      <c r="F1" s="810"/>
      <c r="G1" s="810"/>
      <c r="H1" s="810"/>
      <c r="I1" s="811"/>
    </row>
    <row r="2" spans="1:9" ht="21.95" customHeight="1" thickBot="1" x14ac:dyDescent="0.3">
      <c r="A2" s="904" t="s">
        <v>139</v>
      </c>
      <c r="B2" s="905"/>
      <c r="C2" s="905"/>
      <c r="D2" s="905"/>
      <c r="E2" s="905"/>
      <c r="F2" s="905"/>
      <c r="G2" s="905"/>
      <c r="H2" s="905"/>
      <c r="I2" s="906"/>
    </row>
    <row r="3" spans="1:9" ht="21.95" customHeight="1" thickBot="1" x14ac:dyDescent="0.3">
      <c r="A3" s="894" t="s">
        <v>1</v>
      </c>
      <c r="B3" s="907">
        <v>2010</v>
      </c>
      <c r="C3" s="908"/>
      <c r="D3" s="907">
        <v>2011</v>
      </c>
      <c r="E3" s="908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3" t="s">
        <v>3</v>
      </c>
      <c r="C4" s="3" t="s">
        <v>4</v>
      </c>
      <c r="D4" s="3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38"/>
      <c r="B5" s="139"/>
      <c r="C5" s="139"/>
      <c r="D5" s="140"/>
      <c r="E5" s="141"/>
      <c r="F5" s="140"/>
      <c r="G5" s="140"/>
      <c r="H5" s="140"/>
      <c r="I5" s="142"/>
    </row>
    <row r="6" spans="1:9" ht="21.95" customHeight="1" x14ac:dyDescent="0.25">
      <c r="A6" s="123" t="s">
        <v>111</v>
      </c>
      <c r="B6" s="109">
        <f>GUBERNATURA!B8</f>
        <v>3247</v>
      </c>
      <c r="C6" s="109">
        <f>GUBERNATURA!C8</f>
        <v>6329</v>
      </c>
      <c r="D6" s="109">
        <f>GUBERNATURA!D8</f>
        <v>3350</v>
      </c>
      <c r="E6" s="109">
        <f>GUBERNATURA!E8</f>
        <v>4673</v>
      </c>
      <c r="F6" s="124">
        <f t="shared" ref="F6:F26" si="0">SUM(G6:I6)</f>
        <v>3247</v>
      </c>
      <c r="G6" s="124">
        <f>GUBERNATURA!G8</f>
        <v>3247</v>
      </c>
      <c r="H6" s="124">
        <f>GUBERNATURA!H8</f>
        <v>0</v>
      </c>
      <c r="I6" s="125">
        <f>GUBERNATURA!I8</f>
        <v>0</v>
      </c>
    </row>
    <row r="7" spans="1:9" ht="21.95" customHeight="1" x14ac:dyDescent="0.25">
      <c r="A7" s="123" t="s">
        <v>112</v>
      </c>
      <c r="B7" s="109">
        <f>'S GOB.'!B8</f>
        <v>3660</v>
      </c>
      <c r="C7" s="109">
        <f>'S GOB.'!C8</f>
        <v>4047</v>
      </c>
      <c r="D7" s="109">
        <f>'S GOB.'!D8</f>
        <v>4440</v>
      </c>
      <c r="E7" s="109">
        <f>'S GOB.'!E8</f>
        <v>3644</v>
      </c>
      <c r="F7" s="124">
        <f t="shared" si="0"/>
        <v>3660</v>
      </c>
      <c r="G7" s="124">
        <f>'S GOB.'!G8</f>
        <v>3660</v>
      </c>
      <c r="H7" s="124">
        <f>'S GOB.'!H8</f>
        <v>0</v>
      </c>
      <c r="I7" s="125">
        <f>'S GOB.'!I8</f>
        <v>0</v>
      </c>
    </row>
    <row r="8" spans="1:9" ht="21.95" customHeight="1" x14ac:dyDescent="0.25">
      <c r="A8" s="123" t="s">
        <v>113</v>
      </c>
      <c r="B8" s="109">
        <f>'S HDA.'!B8</f>
        <v>3256</v>
      </c>
      <c r="C8" s="109">
        <f>'S HDA.'!C8</f>
        <v>4105</v>
      </c>
      <c r="D8" s="109">
        <f>'S HDA.'!D8</f>
        <v>4256</v>
      </c>
      <c r="E8" s="109">
        <f>'S HDA.'!E8</f>
        <v>5468</v>
      </c>
      <c r="F8" s="124">
        <f t="shared" si="0"/>
        <v>5585</v>
      </c>
      <c r="G8" s="124">
        <f>'S HDA.'!G8</f>
        <v>5585</v>
      </c>
      <c r="H8" s="124">
        <f>'S HDA.'!H8</f>
        <v>0</v>
      </c>
      <c r="I8" s="125">
        <f>'S HDA.'!I8</f>
        <v>0</v>
      </c>
    </row>
    <row r="9" spans="1:9" ht="21.95" customHeight="1" x14ac:dyDescent="0.25">
      <c r="A9" s="123" t="s">
        <v>114</v>
      </c>
      <c r="B9" s="109">
        <f>'S ECONOM.'!B8</f>
        <v>752</v>
      </c>
      <c r="C9" s="109">
        <f>'S ECONOM.'!C8</f>
        <v>929</v>
      </c>
      <c r="D9" s="109">
        <f>'S ECONOM.'!D8</f>
        <v>661</v>
      </c>
      <c r="E9" s="109">
        <f>'S ECONOM.'!E8</f>
        <v>800</v>
      </c>
      <c r="F9" s="124">
        <f t="shared" si="0"/>
        <v>752</v>
      </c>
      <c r="G9" s="124">
        <f>'S ECONOM.'!G8</f>
        <v>752</v>
      </c>
      <c r="H9" s="124">
        <f>'S ECONOM.'!H8</f>
        <v>0</v>
      </c>
      <c r="I9" s="125">
        <f>'S ECONOM.'!I8</f>
        <v>0</v>
      </c>
    </row>
    <row r="10" spans="1:9" ht="21.95" customHeight="1" x14ac:dyDescent="0.25">
      <c r="A10" s="123" t="s">
        <v>115</v>
      </c>
      <c r="B10" s="109">
        <f>'S DES.AGROP.'!B8</f>
        <v>290</v>
      </c>
      <c r="C10" s="109">
        <f>'S DES.AGROP.'!C8</f>
        <v>101</v>
      </c>
      <c r="D10" s="109">
        <f>'S DES.AGROP.'!D8</f>
        <v>885</v>
      </c>
      <c r="E10" s="109">
        <f>'S DES.AGROP.'!E8</f>
        <v>760</v>
      </c>
      <c r="F10" s="124">
        <f t="shared" si="0"/>
        <v>290</v>
      </c>
      <c r="G10" s="124">
        <f>'S DES.AGROP.'!G8</f>
        <v>290</v>
      </c>
      <c r="H10" s="124">
        <f>'S DES.AGROP.'!H8</f>
        <v>0</v>
      </c>
      <c r="I10" s="125">
        <f>'S DES.AGROP.'!I8</f>
        <v>0</v>
      </c>
    </row>
    <row r="11" spans="1:9" ht="21.95" customHeight="1" x14ac:dyDescent="0.25">
      <c r="A11" s="123" t="s">
        <v>116</v>
      </c>
      <c r="B11" s="109">
        <f>'S OB. PUB.'!B8</f>
        <v>1465</v>
      </c>
      <c r="C11" s="109">
        <f>'S OB. PUB.'!C8</f>
        <v>1321</v>
      </c>
      <c r="D11" s="109">
        <f>'S OB. PUB.'!D8</f>
        <v>1843</v>
      </c>
      <c r="E11" s="109">
        <f>'S OB. PUB.'!E8</f>
        <v>1802</v>
      </c>
      <c r="F11" s="124">
        <f t="shared" si="0"/>
        <v>1465</v>
      </c>
      <c r="G11" s="124">
        <f>'S OB. PUB.'!G8</f>
        <v>1465</v>
      </c>
      <c r="H11" s="124">
        <f>'S OB. PUB.'!H8</f>
        <v>0</v>
      </c>
      <c r="I11" s="125">
        <f>'S OB. PUB.'!I8</f>
        <v>0</v>
      </c>
    </row>
    <row r="12" spans="1:9" ht="21.95" customHeight="1" x14ac:dyDescent="0.25">
      <c r="A12" s="123" t="s">
        <v>117</v>
      </c>
      <c r="B12" s="109">
        <f>'S EDUC.'!B8</f>
        <v>603</v>
      </c>
      <c r="C12" s="109">
        <f>'S EDUC.'!C8</f>
        <v>564</v>
      </c>
      <c r="D12" s="109">
        <f>'S EDUC.'!D8</f>
        <v>591</v>
      </c>
      <c r="E12" s="109">
        <f>'S EDUC.'!E8</f>
        <v>645</v>
      </c>
      <c r="F12" s="124">
        <f t="shared" si="0"/>
        <v>603</v>
      </c>
      <c r="G12" s="124">
        <f>'S EDUC.'!G8</f>
        <v>603</v>
      </c>
      <c r="H12" s="124">
        <f>'S EDUC.'!H8</f>
        <v>0</v>
      </c>
      <c r="I12" s="125">
        <f>'S EDUC.'!I8</f>
        <v>0</v>
      </c>
    </row>
    <row r="13" spans="1:9" ht="21.95" customHeight="1" x14ac:dyDescent="0.25">
      <c r="A13" s="123" t="s">
        <v>118</v>
      </c>
      <c r="B13" s="109">
        <f>'S SALUD'!B8</f>
        <v>230</v>
      </c>
      <c r="C13" s="109">
        <f>'S SALUD'!C8</f>
        <v>328</v>
      </c>
      <c r="D13" s="109">
        <f>'S SALUD'!D8</f>
        <v>400</v>
      </c>
      <c r="E13" s="109">
        <f>'S SALUD'!E8</f>
        <v>359</v>
      </c>
      <c r="F13" s="124">
        <f t="shared" si="0"/>
        <v>1000</v>
      </c>
      <c r="G13" s="124">
        <f>'S SALUD'!G8</f>
        <v>1000</v>
      </c>
      <c r="H13" s="124">
        <f>'S SALUD'!H8</f>
        <v>0</v>
      </c>
      <c r="I13" s="125">
        <f>'S SALUD'!I8</f>
        <v>0</v>
      </c>
    </row>
    <row r="14" spans="1:9" ht="21.95" customHeight="1" x14ac:dyDescent="0.25">
      <c r="A14" s="123" t="s">
        <v>119</v>
      </c>
      <c r="B14" s="109">
        <f>PGJ!B8</f>
        <v>21288</v>
      </c>
      <c r="C14" s="109">
        <f>PGJ!C8</f>
        <v>24360</v>
      </c>
      <c r="D14" s="109">
        <f>PGJ!D8</f>
        <v>23582</v>
      </c>
      <c r="E14" s="109">
        <f>PGJ!E8</f>
        <v>25317</v>
      </c>
      <c r="F14" s="124">
        <f t="shared" si="0"/>
        <v>28772</v>
      </c>
      <c r="G14" s="124">
        <f>PGJ!G8</f>
        <v>28772</v>
      </c>
      <c r="H14" s="124">
        <f>PGJ!H8</f>
        <v>0</v>
      </c>
      <c r="I14" s="125">
        <f>PGJ!I8</f>
        <v>0</v>
      </c>
    </row>
    <row r="15" spans="1:9" ht="21.95" customHeight="1" x14ac:dyDescent="0.25">
      <c r="A15" s="123" t="s">
        <v>120</v>
      </c>
      <c r="B15" s="109">
        <f>'S ADMON.'!B8</f>
        <v>2439</v>
      </c>
      <c r="C15" s="109">
        <f>'S ADMON.'!C8</f>
        <v>5157</v>
      </c>
      <c r="D15" s="109">
        <f>'S ADMON.'!D8</f>
        <v>2905</v>
      </c>
      <c r="E15" s="109">
        <f>'S ADMON.'!E8</f>
        <v>4723</v>
      </c>
      <c r="F15" s="124">
        <f t="shared" si="0"/>
        <v>2439</v>
      </c>
      <c r="G15" s="124">
        <f>'S ADMON.'!G8</f>
        <v>2439</v>
      </c>
      <c r="H15" s="124">
        <f>'S ADMON.'!H8</f>
        <v>0</v>
      </c>
      <c r="I15" s="125">
        <f>'S ADMON.'!I8</f>
        <v>0</v>
      </c>
    </row>
    <row r="16" spans="1:9" ht="21.95" customHeight="1" x14ac:dyDescent="0.25">
      <c r="A16" s="123" t="s">
        <v>121</v>
      </c>
      <c r="B16" s="109">
        <f>'S CONTRALORIA'!B8</f>
        <v>684</v>
      </c>
      <c r="C16" s="109">
        <f>'S CONTRALORIA'!C8</f>
        <v>675</v>
      </c>
      <c r="D16" s="109">
        <f>'S CONTRALORIA'!D8</f>
        <v>665</v>
      </c>
      <c r="E16" s="109">
        <f>'S CONTRALORIA'!E8</f>
        <v>625</v>
      </c>
      <c r="F16" s="124">
        <f t="shared" si="0"/>
        <v>684</v>
      </c>
      <c r="G16" s="124">
        <f>'S CONTRALORIA'!G8</f>
        <v>684</v>
      </c>
      <c r="H16" s="124">
        <f>'S CONTRALORIA'!H8</f>
        <v>0</v>
      </c>
      <c r="I16" s="125">
        <f>'S CONTRALORIA'!I8</f>
        <v>0</v>
      </c>
    </row>
    <row r="17" spans="1:9" ht="21.95" customHeight="1" x14ac:dyDescent="0.25">
      <c r="A17" s="123" t="s">
        <v>122</v>
      </c>
      <c r="B17" s="109">
        <f>'S SEG.PUB.'!B8</f>
        <v>80134</v>
      </c>
      <c r="C17" s="109">
        <f>'S SEG.PUB.'!C8</f>
        <v>123784</v>
      </c>
      <c r="D17" s="109">
        <f>'S SEG.PUB.'!D8</f>
        <v>82025</v>
      </c>
      <c r="E17" s="109">
        <f>'S SEG.PUB.'!E8</f>
        <v>138604</v>
      </c>
      <c r="F17" s="124">
        <f t="shared" si="0"/>
        <v>77407</v>
      </c>
      <c r="G17" s="124">
        <f>'S SEG.PUB.'!G8</f>
        <v>77407</v>
      </c>
      <c r="H17" s="124">
        <f>'S SEG.PUB.'!H8</f>
        <v>0</v>
      </c>
      <c r="I17" s="125">
        <f>'S SEG.PUB.'!I8</f>
        <v>0</v>
      </c>
    </row>
    <row r="18" spans="1:9" ht="21.95" customHeight="1" x14ac:dyDescent="0.25">
      <c r="A18" s="123" t="s">
        <v>123</v>
      </c>
      <c r="B18" s="109">
        <f>CONSEJ.JUR.!B8</f>
        <v>702</v>
      </c>
      <c r="C18" s="109">
        <f>CONSEJ.JUR.!C8</f>
        <v>691</v>
      </c>
      <c r="D18" s="109">
        <f>CONSEJ.JUR.!D8</f>
        <v>715</v>
      </c>
      <c r="E18" s="109">
        <f>CONSEJ.JUR.!E8</f>
        <v>724</v>
      </c>
      <c r="F18" s="124">
        <f t="shared" si="0"/>
        <v>702</v>
      </c>
      <c r="G18" s="124">
        <f>CONSEJ.JUR.!G8</f>
        <v>702</v>
      </c>
      <c r="H18" s="124">
        <f>CONSEJ.JUR.!H8</f>
        <v>0</v>
      </c>
      <c r="I18" s="125">
        <f>CONSEJ.JUR.!I8</f>
        <v>0</v>
      </c>
    </row>
    <row r="19" spans="1:9" ht="21.95" customHeight="1" x14ac:dyDescent="0.25">
      <c r="A19" s="123" t="s">
        <v>124</v>
      </c>
      <c r="B19" s="109" t="e">
        <f>'S TURISMO'!#REF!</f>
        <v>#REF!</v>
      </c>
      <c r="C19" s="109" t="e">
        <f>'S TURISMO'!#REF!</f>
        <v>#REF!</v>
      </c>
      <c r="D19" s="109" t="e">
        <f>'S TURISMO'!#REF!</f>
        <v>#REF!</v>
      </c>
      <c r="E19" s="109" t="e">
        <f>'S TURISMO'!#REF!</f>
        <v>#REF!</v>
      </c>
      <c r="F19" s="124">
        <f t="shared" si="0"/>
        <v>1055</v>
      </c>
      <c r="G19" s="124">
        <f>'S TURISMO'!C8</f>
        <v>1055</v>
      </c>
      <c r="H19" s="124">
        <f>'S TURISMO'!D8</f>
        <v>0</v>
      </c>
      <c r="I19" s="125">
        <f>'S TURISMO'!E8</f>
        <v>0</v>
      </c>
    </row>
    <row r="20" spans="1:9" ht="21.95" customHeight="1" x14ac:dyDescent="0.25">
      <c r="A20" s="123" t="s">
        <v>125</v>
      </c>
      <c r="B20" s="109">
        <f>'S DES.SOC.'!B8</f>
        <v>390</v>
      </c>
      <c r="C20" s="109">
        <f>'S DES.SOC.'!C8</f>
        <v>514</v>
      </c>
      <c r="D20" s="109">
        <f>'S DES.SOC.'!D8</f>
        <v>759</v>
      </c>
      <c r="E20" s="109">
        <f>'S DES.SOC.'!E8</f>
        <v>592</v>
      </c>
      <c r="F20" s="124">
        <f t="shared" si="0"/>
        <v>514</v>
      </c>
      <c r="G20" s="124">
        <f>'S DES.SOC.'!G8</f>
        <v>514</v>
      </c>
      <c r="H20" s="124">
        <f>'S DES.SOC.'!H8</f>
        <v>0</v>
      </c>
      <c r="I20" s="125">
        <f>'S DES.SOC.'!I8</f>
        <v>0</v>
      </c>
    </row>
    <row r="21" spans="1:9" ht="21.95" customHeight="1" x14ac:dyDescent="0.25">
      <c r="A21" s="123" t="s">
        <v>126</v>
      </c>
      <c r="B21" s="109">
        <f>'S TRABAJO'!B8</f>
        <v>1444</v>
      </c>
      <c r="C21" s="109">
        <f>'S TRABAJO'!C8</f>
        <v>1343</v>
      </c>
      <c r="D21" s="109">
        <f>'S TRABAJO'!D8</f>
        <v>1803</v>
      </c>
      <c r="E21" s="109">
        <f>'S TRABAJO'!E8</f>
        <v>1582</v>
      </c>
      <c r="F21" s="124">
        <f t="shared" si="0"/>
        <v>1660</v>
      </c>
      <c r="G21" s="124">
        <f>'S TRABAJO'!G8</f>
        <v>1660</v>
      </c>
      <c r="H21" s="124">
        <f>'S TRABAJO'!H8</f>
        <v>0</v>
      </c>
      <c r="I21" s="125">
        <f>'S TRABAJO'!I8</f>
        <v>0</v>
      </c>
    </row>
    <row r="22" spans="1:9" ht="21.95" customHeight="1" x14ac:dyDescent="0.25">
      <c r="A22" s="123" t="s">
        <v>127</v>
      </c>
      <c r="B22" s="143"/>
      <c r="C22" s="143"/>
      <c r="D22" s="109"/>
      <c r="E22" s="130"/>
      <c r="F22" s="124">
        <f t="shared" si="0"/>
        <v>0</v>
      </c>
      <c r="G22" s="124">
        <f>SUM('S CULT'!G8)</f>
        <v>0</v>
      </c>
      <c r="H22" s="124">
        <f>SUM('S CULT'!H8)</f>
        <v>0</v>
      </c>
      <c r="I22" s="125">
        <f>SUM('S CULT'!I8)</f>
        <v>0</v>
      </c>
    </row>
    <row r="23" spans="1:9" ht="21.95" customHeight="1" x14ac:dyDescent="0.25">
      <c r="A23" s="123" t="s">
        <v>128</v>
      </c>
      <c r="B23" s="143"/>
      <c r="C23" s="143"/>
      <c r="D23" s="109"/>
      <c r="E23" s="130"/>
      <c r="F23" s="124">
        <f t="shared" si="0"/>
        <v>3901</v>
      </c>
      <c r="G23" s="124">
        <f>SUM('S DES. SUST.'!G8)</f>
        <v>3901</v>
      </c>
      <c r="H23" s="124">
        <f>SUM('S DES. SUST.'!H8)</f>
        <v>0</v>
      </c>
      <c r="I23" s="125">
        <f>SUM('S DES. SUST.'!I8)</f>
        <v>0</v>
      </c>
    </row>
    <row r="24" spans="1:9" ht="21.95" customHeight="1" x14ac:dyDescent="0.25">
      <c r="A24" s="123" t="s">
        <v>129</v>
      </c>
      <c r="B24" s="143"/>
      <c r="C24" s="143"/>
      <c r="D24" s="109"/>
      <c r="E24" s="130"/>
      <c r="F24" s="124">
        <f t="shared" si="0"/>
        <v>3467</v>
      </c>
      <c r="G24" s="124">
        <f>SUM('S INF.COMUN.'!G8)</f>
        <v>3467</v>
      </c>
      <c r="H24" s="124">
        <f>SUM('S INF.COMUN.'!H8)</f>
        <v>0</v>
      </c>
      <c r="I24" s="125">
        <f>SUM('S INF.COMUN.'!I8)</f>
        <v>0</v>
      </c>
    </row>
    <row r="25" spans="1:9" ht="21.95" customHeight="1" x14ac:dyDescent="0.25">
      <c r="A25" s="123" t="s">
        <v>130</v>
      </c>
      <c r="B25" s="143"/>
      <c r="C25" s="143"/>
      <c r="D25" s="109"/>
      <c r="E25" s="130"/>
      <c r="F25" s="124">
        <f t="shared" si="0"/>
        <v>2302</v>
      </c>
      <c r="G25" s="124">
        <f>SUM('S INNOV.'!G8)</f>
        <v>2302</v>
      </c>
      <c r="H25" s="124">
        <f>SUM('S INNOV.'!H8)</f>
        <v>0</v>
      </c>
      <c r="I25" s="125">
        <f>SUM('S INNOV.'!I8)</f>
        <v>0</v>
      </c>
    </row>
    <row r="26" spans="1:9" ht="21.95" customHeight="1" x14ac:dyDescent="0.25">
      <c r="A26" s="123" t="s">
        <v>131</v>
      </c>
      <c r="B26" s="143"/>
      <c r="C26" s="143"/>
      <c r="D26" s="109"/>
      <c r="E26" s="130"/>
      <c r="F26" s="124">
        <f t="shared" si="0"/>
        <v>2155</v>
      </c>
      <c r="G26" s="124">
        <f>SUM('S MOV.TRANSP.'!G8)</f>
        <v>2155</v>
      </c>
      <c r="H26" s="124">
        <f>SUM('S MOV.TRANSP.'!H8)</f>
        <v>0</v>
      </c>
      <c r="I26" s="125">
        <f>SUM('S MOV.TRANSP.'!I8)</f>
        <v>0</v>
      </c>
    </row>
    <row r="27" spans="1:9" ht="21.95" customHeight="1" x14ac:dyDescent="0.25">
      <c r="A27" s="123"/>
      <c r="B27" s="143"/>
      <c r="C27" s="143"/>
      <c r="D27" s="109"/>
      <c r="E27" s="130"/>
      <c r="F27" s="124"/>
      <c r="G27" s="124"/>
      <c r="H27" s="124"/>
      <c r="I27" s="125"/>
    </row>
    <row r="28" spans="1:9" ht="21.95" customHeight="1" thickBot="1" x14ac:dyDescent="0.3">
      <c r="A28" s="131"/>
      <c r="B28" s="155"/>
      <c r="C28" s="155"/>
      <c r="D28" s="132"/>
      <c r="E28" s="133"/>
      <c r="F28" s="132"/>
      <c r="G28" s="132"/>
      <c r="H28" s="132"/>
      <c r="I28" s="135"/>
    </row>
    <row r="29" spans="1:9" ht="21.95" customHeight="1" thickBot="1" x14ac:dyDescent="0.3">
      <c r="A29" s="456" t="s">
        <v>133</v>
      </c>
      <c r="B29" s="489" t="e">
        <f t="shared" ref="B29:I29" si="1">SUM(B6:B28)</f>
        <v>#REF!</v>
      </c>
      <c r="C29" s="489" t="e">
        <f t="shared" si="1"/>
        <v>#REF!</v>
      </c>
      <c r="D29" s="489" t="e">
        <f t="shared" si="1"/>
        <v>#REF!</v>
      </c>
      <c r="E29" s="489" t="e">
        <f t="shared" si="1"/>
        <v>#REF!</v>
      </c>
      <c r="F29" s="489">
        <f t="shared" si="1"/>
        <v>141660</v>
      </c>
      <c r="G29" s="489">
        <f t="shared" si="1"/>
        <v>141660</v>
      </c>
      <c r="H29" s="489">
        <f t="shared" si="1"/>
        <v>0</v>
      </c>
      <c r="I29" s="445">
        <f t="shared" si="1"/>
        <v>0</v>
      </c>
    </row>
    <row r="30" spans="1:9" ht="21.95" customHeight="1" x14ac:dyDescent="0.25"/>
    <row r="31" spans="1:9" ht="21.95" customHeight="1" x14ac:dyDescent="0.25">
      <c r="A31" s="156"/>
      <c r="B31" s="156"/>
      <c r="C31" s="156"/>
    </row>
    <row r="33" spans="4:6" ht="15" customHeight="1" x14ac:dyDescent="0.25">
      <c r="D33" s="5"/>
      <c r="E33" s="5"/>
      <c r="F33" s="5"/>
    </row>
  </sheetData>
  <mergeCells count="6">
    <mergeCell ref="A1:I1"/>
    <mergeCell ref="A2:I2"/>
    <mergeCell ref="A3:A4"/>
    <mergeCell ref="B3:C3"/>
    <mergeCell ref="D3:E3"/>
    <mergeCell ref="F3:I3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ySplit="5" topLeftCell="A21" activePane="bottomLeft" state="frozen"/>
      <selection activeCell="F34" sqref="F34"/>
      <selection pane="bottomLeft" activeCell="G13" sqref="G13"/>
    </sheetView>
  </sheetViews>
  <sheetFormatPr baseColWidth="10" defaultColWidth="11.42578125" defaultRowHeight="15" customHeight="1" x14ac:dyDescent="0.25"/>
  <cols>
    <col min="1" max="1" width="37.140625" bestFit="1" customWidth="1"/>
    <col min="2" max="2" width="14" hidden="1" customWidth="1"/>
    <col min="3" max="3" width="12.7109375" hidden="1" customWidth="1"/>
    <col min="4" max="4" width="13.42578125" hidden="1" customWidth="1"/>
    <col min="5" max="5" width="9.7109375" hidden="1" customWidth="1"/>
    <col min="6" max="6" width="13.42578125" customWidth="1"/>
  </cols>
  <sheetData>
    <row r="1" spans="1:9" ht="21.95" customHeight="1" x14ac:dyDescent="0.25">
      <c r="A1" s="909" t="s">
        <v>14</v>
      </c>
      <c r="B1" s="910"/>
      <c r="C1" s="910"/>
      <c r="D1" s="910"/>
      <c r="E1" s="910"/>
      <c r="F1" s="910"/>
      <c r="G1" s="910"/>
      <c r="H1" s="910"/>
      <c r="I1" s="911"/>
    </row>
    <row r="2" spans="1:9" ht="21.95" customHeight="1" x14ac:dyDescent="0.25">
      <c r="A2" s="891" t="s">
        <v>140</v>
      </c>
      <c r="B2" s="892"/>
      <c r="C2" s="892"/>
      <c r="D2" s="892"/>
      <c r="E2" s="892"/>
      <c r="F2" s="892"/>
      <c r="G2" s="892"/>
      <c r="H2" s="892"/>
      <c r="I2" s="893"/>
    </row>
    <row r="3" spans="1:9" ht="21.95" customHeight="1" thickBot="1" x14ac:dyDescent="0.3">
      <c r="A3" s="912" t="s">
        <v>0</v>
      </c>
      <c r="B3" s="913"/>
      <c r="C3" s="913"/>
      <c r="D3" s="913"/>
      <c r="E3" s="913"/>
      <c r="F3" s="913"/>
      <c r="G3" s="913"/>
      <c r="H3" s="913"/>
      <c r="I3" s="914"/>
    </row>
    <row r="4" spans="1:9" ht="21.95" customHeight="1" thickBot="1" x14ac:dyDescent="0.3">
      <c r="A4" s="894" t="s">
        <v>1</v>
      </c>
      <c r="B4" s="896">
        <v>2010</v>
      </c>
      <c r="C4" s="897"/>
      <c r="D4" s="896">
        <v>2011</v>
      </c>
      <c r="E4" s="897"/>
      <c r="F4" s="898" t="s">
        <v>343</v>
      </c>
      <c r="G4" s="899"/>
      <c r="H4" s="899"/>
      <c r="I4" s="900"/>
    </row>
    <row r="5" spans="1:9" ht="21.95" customHeight="1" thickBot="1" x14ac:dyDescent="0.3">
      <c r="A5" s="895"/>
      <c r="B5" s="3" t="s">
        <v>3</v>
      </c>
      <c r="C5" s="3" t="s">
        <v>4</v>
      </c>
      <c r="D5" s="3" t="s">
        <v>3</v>
      </c>
      <c r="E5" s="3" t="s">
        <v>4</v>
      </c>
      <c r="F5" s="72" t="s">
        <v>5</v>
      </c>
      <c r="G5" s="95" t="s">
        <v>6</v>
      </c>
      <c r="H5" s="95" t="s">
        <v>7</v>
      </c>
      <c r="I5" s="95" t="s">
        <v>8</v>
      </c>
    </row>
    <row r="6" spans="1:9" ht="21.95" customHeight="1" x14ac:dyDescent="0.25">
      <c r="A6" s="138"/>
      <c r="B6" s="139"/>
      <c r="C6" s="139"/>
      <c r="D6" s="140"/>
      <c r="E6" s="141"/>
      <c r="F6" s="140"/>
      <c r="G6" s="140"/>
      <c r="H6" s="140"/>
      <c r="I6" s="142"/>
    </row>
    <row r="7" spans="1:9" ht="21.95" customHeight="1" x14ac:dyDescent="0.25">
      <c r="A7" s="123" t="s">
        <v>111</v>
      </c>
      <c r="B7" s="109">
        <f>GUBERNATURA!B9</f>
        <v>4182</v>
      </c>
      <c r="C7" s="109">
        <f>GUBERNATURA!C9</f>
        <v>6053</v>
      </c>
      <c r="D7" s="109">
        <f>GUBERNATURA!D9</f>
        <v>4730</v>
      </c>
      <c r="E7" s="109">
        <f>GUBERNATURA!E9</f>
        <v>6200</v>
      </c>
      <c r="F7" s="124">
        <f t="shared" ref="F7:F27" si="0">SUM(G7:I7)</f>
        <v>4182</v>
      </c>
      <c r="G7" s="124">
        <f>GUBERNATURA!G9</f>
        <v>4182</v>
      </c>
      <c r="H7" s="124">
        <f>GUBERNATURA!H9</f>
        <v>0</v>
      </c>
      <c r="I7" s="125">
        <f>GUBERNATURA!I9</f>
        <v>0</v>
      </c>
    </row>
    <row r="8" spans="1:9" ht="21.95" customHeight="1" x14ac:dyDescent="0.25">
      <c r="A8" s="123" t="s">
        <v>112</v>
      </c>
      <c r="B8" s="109">
        <f>'S GOB.'!B9</f>
        <v>8821</v>
      </c>
      <c r="C8" s="109">
        <f>'S GOB.'!C9</f>
        <v>9861</v>
      </c>
      <c r="D8" s="109">
        <f>'S GOB.'!D9</f>
        <v>11199</v>
      </c>
      <c r="E8" s="109">
        <f>'S GOB.'!E9</f>
        <v>11921</v>
      </c>
      <c r="F8" s="124">
        <f t="shared" si="0"/>
        <v>8821</v>
      </c>
      <c r="G8" s="124">
        <f>'S GOB.'!G9</f>
        <v>8821</v>
      </c>
      <c r="H8" s="124">
        <f>'S GOB.'!H9</f>
        <v>0</v>
      </c>
      <c r="I8" s="125">
        <f>'S GOB.'!I9</f>
        <v>0</v>
      </c>
    </row>
    <row r="9" spans="1:9" ht="21.95" customHeight="1" x14ac:dyDescent="0.25">
      <c r="A9" s="123" t="s">
        <v>113</v>
      </c>
      <c r="B9" s="109">
        <f>'S HDA.'!B9</f>
        <v>15024</v>
      </c>
      <c r="C9" s="109">
        <f>'S HDA.'!C9</f>
        <v>15526</v>
      </c>
      <c r="D9" s="109">
        <f>'S HDA.'!D9</f>
        <v>16542</v>
      </c>
      <c r="E9" s="109">
        <f>'S HDA.'!E9</f>
        <v>17741</v>
      </c>
      <c r="F9" s="124">
        <f t="shared" si="0"/>
        <v>8000</v>
      </c>
      <c r="G9" s="124">
        <f>'S HDA.'!G9</f>
        <v>8000</v>
      </c>
      <c r="H9" s="124">
        <f>'S HDA.'!H7</f>
        <v>0</v>
      </c>
      <c r="I9" s="125">
        <f>'S HDA.'!I7</f>
        <v>0</v>
      </c>
    </row>
    <row r="10" spans="1:9" ht="21.95" customHeight="1" x14ac:dyDescent="0.25">
      <c r="A10" s="123" t="s">
        <v>114</v>
      </c>
      <c r="B10" s="109">
        <f>'S ECONOM.'!B9</f>
        <v>2390</v>
      </c>
      <c r="C10" s="109">
        <f>'S ECONOM.'!C9</f>
        <v>2431</v>
      </c>
      <c r="D10" s="109">
        <f>'S ECONOM.'!D9</f>
        <v>2480</v>
      </c>
      <c r="E10" s="109">
        <f>'S ECONOM.'!E9</f>
        <v>2546</v>
      </c>
      <c r="F10" s="124">
        <f t="shared" si="0"/>
        <v>2390</v>
      </c>
      <c r="G10" s="124">
        <f>'S ECONOM.'!G9</f>
        <v>2390</v>
      </c>
      <c r="H10" s="124">
        <f>'S ECONOM.'!H9</f>
        <v>0</v>
      </c>
      <c r="I10" s="125">
        <f>'S ECONOM.'!I9</f>
        <v>0</v>
      </c>
    </row>
    <row r="11" spans="1:9" ht="21.95" customHeight="1" x14ac:dyDescent="0.25">
      <c r="A11" s="123" t="s">
        <v>115</v>
      </c>
      <c r="B11" s="109">
        <f>'S DES.AGROP.'!B9</f>
        <v>1031</v>
      </c>
      <c r="C11" s="109">
        <f>'S DES.AGROP.'!C9</f>
        <v>1079</v>
      </c>
      <c r="D11" s="109">
        <f>'S DES.AGROP.'!D9</f>
        <v>1723</v>
      </c>
      <c r="E11" s="109">
        <f>'S DES.AGROP.'!E9</f>
        <v>1439</v>
      </c>
      <c r="F11" s="124">
        <f t="shared" si="0"/>
        <v>1031</v>
      </c>
      <c r="G11" s="124">
        <f>'S DES.AGROP.'!G9</f>
        <v>1031</v>
      </c>
      <c r="H11" s="124">
        <f>'S DES.AGROP.'!H9</f>
        <v>0</v>
      </c>
      <c r="I11" s="125">
        <f>'S DES.AGROP.'!I9</f>
        <v>0</v>
      </c>
    </row>
    <row r="12" spans="1:9" ht="21.95" customHeight="1" x14ac:dyDescent="0.25">
      <c r="A12" s="123" t="s">
        <v>116</v>
      </c>
      <c r="B12" s="109">
        <f>'S OB. PUB.'!B9</f>
        <v>2123</v>
      </c>
      <c r="C12" s="109">
        <f>'S OB. PUB.'!C9</f>
        <v>3325</v>
      </c>
      <c r="D12" s="109">
        <f>'S OB. PUB.'!D9</f>
        <v>2879</v>
      </c>
      <c r="E12" s="109">
        <f>'S OB. PUB.'!E9</f>
        <v>2701</v>
      </c>
      <c r="F12" s="124">
        <f t="shared" si="0"/>
        <v>2123</v>
      </c>
      <c r="G12" s="124">
        <f>'S OB. PUB.'!G9</f>
        <v>2123</v>
      </c>
      <c r="H12" s="124">
        <f>'S OB. PUB.'!H9</f>
        <v>0</v>
      </c>
      <c r="I12" s="125">
        <f>'S OB. PUB.'!I9</f>
        <v>0</v>
      </c>
    </row>
    <row r="13" spans="1:9" ht="21.95" customHeight="1" x14ac:dyDescent="0.25">
      <c r="A13" s="123" t="s">
        <v>117</v>
      </c>
      <c r="B13" s="109">
        <f>'S EDUC.'!B9</f>
        <v>951</v>
      </c>
      <c r="C13" s="109">
        <f>'S EDUC.'!C9</f>
        <v>983</v>
      </c>
      <c r="D13" s="109">
        <f>'S EDUC.'!D9</f>
        <v>998</v>
      </c>
      <c r="E13" s="109">
        <f>'S EDUC.'!E9</f>
        <v>1152</v>
      </c>
      <c r="F13" s="124">
        <f t="shared" si="0"/>
        <v>951</v>
      </c>
      <c r="G13" s="124">
        <f>'S EDUC.'!G9</f>
        <v>951</v>
      </c>
      <c r="H13" s="124">
        <f>'S EDUC.'!H9</f>
        <v>0</v>
      </c>
      <c r="I13" s="125">
        <f>'S EDUC.'!I9</f>
        <v>0</v>
      </c>
    </row>
    <row r="14" spans="1:9" ht="21.95" customHeight="1" x14ac:dyDescent="0.25">
      <c r="A14" s="123" t="s">
        <v>118</v>
      </c>
      <c r="B14" s="109">
        <f>'S SALUD'!B9</f>
        <v>394</v>
      </c>
      <c r="C14" s="109">
        <f>'S SALUD'!C9</f>
        <v>541</v>
      </c>
      <c r="D14" s="109">
        <f>'S SALUD'!D9</f>
        <v>1228</v>
      </c>
      <c r="E14" s="109">
        <f>'S SALUD'!E9</f>
        <v>1080</v>
      </c>
      <c r="F14" s="124">
        <f t="shared" si="0"/>
        <v>1000</v>
      </c>
      <c r="G14" s="124">
        <f>'S SALUD'!G9</f>
        <v>1000</v>
      </c>
      <c r="H14" s="124">
        <f>'S SALUD'!H9</f>
        <v>0</v>
      </c>
      <c r="I14" s="125">
        <f>'S SALUD'!I9</f>
        <v>0</v>
      </c>
    </row>
    <row r="15" spans="1:9" ht="21.95" customHeight="1" x14ac:dyDescent="0.25">
      <c r="A15" s="123" t="s">
        <v>119</v>
      </c>
      <c r="B15" s="109">
        <f>PGJ!B9</f>
        <v>20984</v>
      </c>
      <c r="C15" s="109">
        <f>PGJ!C9</f>
        <v>34877</v>
      </c>
      <c r="D15" s="109">
        <f>PGJ!D9</f>
        <v>31079</v>
      </c>
      <c r="E15" s="109">
        <f>PGJ!E9</f>
        <v>37178</v>
      </c>
      <c r="F15" s="124">
        <f t="shared" si="0"/>
        <v>36389</v>
      </c>
      <c r="G15" s="124">
        <f>PGJ!G9</f>
        <v>36389</v>
      </c>
      <c r="H15" s="124">
        <f>PGJ!H9</f>
        <v>0</v>
      </c>
      <c r="I15" s="125">
        <f>PGJ!I9</f>
        <v>0</v>
      </c>
    </row>
    <row r="16" spans="1:9" ht="21.95" customHeight="1" x14ac:dyDescent="0.25">
      <c r="A16" s="123" t="s">
        <v>120</v>
      </c>
      <c r="B16" s="109">
        <f>'S ADMON.'!B9</f>
        <v>6605</v>
      </c>
      <c r="C16" s="109">
        <f>'S ADMON.'!C9</f>
        <v>6274</v>
      </c>
      <c r="D16" s="109">
        <f>'S ADMON.'!D9</f>
        <v>6222</v>
      </c>
      <c r="E16" s="109">
        <f>'S ADMON.'!E9</f>
        <v>6225</v>
      </c>
      <c r="F16" s="124">
        <f t="shared" si="0"/>
        <v>6605</v>
      </c>
      <c r="G16" s="124">
        <f>'S ADMON.'!G9</f>
        <v>6605</v>
      </c>
      <c r="H16" s="124">
        <f>'S ADMON.'!H9</f>
        <v>0</v>
      </c>
      <c r="I16" s="125">
        <f>'S ADMON.'!I9</f>
        <v>0</v>
      </c>
    </row>
    <row r="17" spans="1:9" ht="21.95" customHeight="1" x14ac:dyDescent="0.25">
      <c r="A17" s="123" t="s">
        <v>121</v>
      </c>
      <c r="B17" s="109">
        <f>'S CONTRALORIA'!B9</f>
        <v>2359</v>
      </c>
      <c r="C17" s="109">
        <f>'S CONTRALORIA'!C9</f>
        <v>2330</v>
      </c>
      <c r="D17" s="109">
        <f>'S CONTRALORIA'!D9</f>
        <v>2375</v>
      </c>
      <c r="E17" s="109">
        <f>'S CONTRALORIA'!E9</f>
        <v>4799</v>
      </c>
      <c r="F17" s="124">
        <f t="shared" si="0"/>
        <v>2359</v>
      </c>
      <c r="G17" s="124">
        <f>'S CONTRALORIA'!G9</f>
        <v>2359</v>
      </c>
      <c r="H17" s="124">
        <f>'S CONTRALORIA'!H9</f>
        <v>0</v>
      </c>
      <c r="I17" s="125">
        <f>'S CONTRALORIA'!I9</f>
        <v>0</v>
      </c>
    </row>
    <row r="18" spans="1:9" ht="21.95" customHeight="1" x14ac:dyDescent="0.25">
      <c r="A18" s="123" t="s">
        <v>122</v>
      </c>
      <c r="B18" s="109">
        <f>'S SEG.PUB.'!B9</f>
        <v>16659</v>
      </c>
      <c r="C18" s="109">
        <f>'S SEG.PUB.'!C9</f>
        <v>52220</v>
      </c>
      <c r="D18" s="109">
        <f>'S SEG.PUB.'!D9</f>
        <v>32219</v>
      </c>
      <c r="E18" s="109">
        <f>'S SEG.PUB.'!E9</f>
        <v>60574</v>
      </c>
      <c r="F18" s="124">
        <f t="shared" si="0"/>
        <v>62954</v>
      </c>
      <c r="G18" s="124">
        <f>'S SEG.PUB.'!G9</f>
        <v>62954</v>
      </c>
      <c r="H18" s="124">
        <f>'S SEG.PUB.'!H9</f>
        <v>0</v>
      </c>
      <c r="I18" s="125">
        <f>'S SEG.PUB.'!I9</f>
        <v>0</v>
      </c>
    </row>
    <row r="19" spans="1:9" ht="21.95" customHeight="1" x14ac:dyDescent="0.25">
      <c r="A19" s="123" t="s">
        <v>123</v>
      </c>
      <c r="B19" s="109">
        <f>CONSEJ.JUR.!B9</f>
        <v>1195</v>
      </c>
      <c r="C19" s="109">
        <f>CONSEJ.JUR.!C9</f>
        <v>835</v>
      </c>
      <c r="D19" s="109">
        <f>CONSEJ.JUR.!D9</f>
        <v>1228</v>
      </c>
      <c r="E19" s="109">
        <f>CONSEJ.JUR.!E9</f>
        <v>1028</v>
      </c>
      <c r="F19" s="124">
        <f t="shared" si="0"/>
        <v>1195</v>
      </c>
      <c r="G19" s="124">
        <f>CONSEJ.JUR.!G9</f>
        <v>1195</v>
      </c>
      <c r="H19" s="124">
        <f>CONSEJ.JUR.!H9</f>
        <v>0</v>
      </c>
      <c r="I19" s="125">
        <f>CONSEJ.JUR.!I9</f>
        <v>0</v>
      </c>
    </row>
    <row r="20" spans="1:9" ht="21.95" customHeight="1" x14ac:dyDescent="0.25">
      <c r="A20" s="123" t="s">
        <v>124</v>
      </c>
      <c r="B20" s="109" t="e">
        <f>'S TURISMO'!#REF!</f>
        <v>#REF!</v>
      </c>
      <c r="C20" s="109" t="e">
        <f>'S TURISMO'!#REF!</f>
        <v>#REF!</v>
      </c>
      <c r="D20" s="109" t="e">
        <f>'S TURISMO'!#REF!</f>
        <v>#REF!</v>
      </c>
      <c r="E20" s="109" t="e">
        <f>'S TURISMO'!#REF!</f>
        <v>#REF!</v>
      </c>
      <c r="F20" s="124">
        <f t="shared" si="0"/>
        <v>2330</v>
      </c>
      <c r="G20" s="124">
        <f>'S TURISMO'!C9</f>
        <v>2330</v>
      </c>
      <c r="H20" s="124">
        <f>'S TURISMO'!D9</f>
        <v>0</v>
      </c>
      <c r="I20" s="125">
        <f>'S TURISMO'!E9</f>
        <v>0</v>
      </c>
    </row>
    <row r="21" spans="1:9" ht="21.95" customHeight="1" x14ac:dyDescent="0.25">
      <c r="A21" s="123" t="s">
        <v>125</v>
      </c>
      <c r="B21" s="109">
        <f>'S DES.SOC.'!B9</f>
        <v>2720</v>
      </c>
      <c r="C21" s="109">
        <f>'S DES.SOC.'!C9</f>
        <v>2971</v>
      </c>
      <c r="D21" s="109">
        <f>'S DES.SOC.'!D9</f>
        <v>3289</v>
      </c>
      <c r="E21" s="109">
        <f>'S DES.SOC.'!E9</f>
        <v>3316</v>
      </c>
      <c r="F21" s="124">
        <f t="shared" si="0"/>
        <v>2971</v>
      </c>
      <c r="G21" s="124">
        <f>'S DES.SOC.'!G9</f>
        <v>2971</v>
      </c>
      <c r="H21" s="124">
        <f>'S DES.SOC.'!H9</f>
        <v>0</v>
      </c>
      <c r="I21" s="125">
        <f>'S DES.SOC.'!I9</f>
        <v>0</v>
      </c>
    </row>
    <row r="22" spans="1:9" ht="21.95" customHeight="1" x14ac:dyDescent="0.25">
      <c r="A22" s="123" t="s">
        <v>126</v>
      </c>
      <c r="B22" s="109">
        <f>'S TRABAJO'!B9</f>
        <v>2460</v>
      </c>
      <c r="C22" s="109">
        <f>'S TRABAJO'!C9</f>
        <v>2846</v>
      </c>
      <c r="D22" s="109">
        <f>'S TRABAJO'!D9</f>
        <v>3139</v>
      </c>
      <c r="E22" s="109">
        <f>'S TRABAJO'!E9</f>
        <v>3324</v>
      </c>
      <c r="F22" s="124">
        <f t="shared" si="0"/>
        <v>4374</v>
      </c>
      <c r="G22" s="124">
        <f>'S TRABAJO'!G9</f>
        <v>4374</v>
      </c>
      <c r="H22" s="124">
        <f>'S TRABAJO'!H9</f>
        <v>0</v>
      </c>
      <c r="I22" s="125">
        <f>'S TRABAJO'!I9</f>
        <v>0</v>
      </c>
    </row>
    <row r="23" spans="1:9" ht="21.95" customHeight="1" x14ac:dyDescent="0.25">
      <c r="A23" s="123" t="s">
        <v>127</v>
      </c>
      <c r="B23" s="143"/>
      <c r="C23" s="143"/>
      <c r="D23" s="109"/>
      <c r="E23" s="130"/>
      <c r="F23" s="124">
        <f t="shared" si="0"/>
        <v>1117</v>
      </c>
      <c r="G23" s="124">
        <f>SUM('S CULT'!G9)</f>
        <v>1117</v>
      </c>
      <c r="H23" s="124">
        <f>SUM('S CULT'!H9)</f>
        <v>0</v>
      </c>
      <c r="I23" s="125">
        <f>SUM('S CULT'!I9)</f>
        <v>0</v>
      </c>
    </row>
    <row r="24" spans="1:9" ht="21.95" customHeight="1" x14ac:dyDescent="0.25">
      <c r="A24" s="123" t="s">
        <v>128</v>
      </c>
      <c r="B24" s="143"/>
      <c r="C24" s="143"/>
      <c r="D24" s="109"/>
      <c r="E24" s="130"/>
      <c r="F24" s="124">
        <f t="shared" si="0"/>
        <v>5761</v>
      </c>
      <c r="G24" s="124">
        <f>SUM('S DES. SUST.'!G9)</f>
        <v>5761</v>
      </c>
      <c r="H24" s="124">
        <f>SUM('S DES. SUST.'!H9)</f>
        <v>0</v>
      </c>
      <c r="I24" s="125">
        <f>SUM('S DES. SUST.'!I9)</f>
        <v>0</v>
      </c>
    </row>
    <row r="25" spans="1:9" ht="21.95" customHeight="1" x14ac:dyDescent="0.25">
      <c r="A25" s="123" t="s">
        <v>129</v>
      </c>
      <c r="B25" s="143"/>
      <c r="C25" s="143"/>
      <c r="D25" s="109"/>
      <c r="E25" s="130"/>
      <c r="F25" s="124">
        <f t="shared" si="0"/>
        <v>92000</v>
      </c>
      <c r="G25" s="124">
        <f>SUM('S INF.COMUN.'!G9)</f>
        <v>92000</v>
      </c>
      <c r="H25" s="124">
        <f>SUM('S INF.COMUN.'!H9)</f>
        <v>0</v>
      </c>
      <c r="I25" s="125">
        <f>SUM('S INF.COMUN.'!I9)</f>
        <v>0</v>
      </c>
    </row>
    <row r="26" spans="1:9" ht="21.95" customHeight="1" x14ac:dyDescent="0.25">
      <c r="A26" s="123" t="s">
        <v>130</v>
      </c>
      <c r="B26" s="143"/>
      <c r="C26" s="143"/>
      <c r="D26" s="109"/>
      <c r="E26" s="130"/>
      <c r="F26" s="124">
        <f t="shared" si="0"/>
        <v>2814</v>
      </c>
      <c r="G26" s="124">
        <f>SUM('S INNOV.'!G9)</f>
        <v>2814</v>
      </c>
      <c r="H26" s="124">
        <f>SUM('S INNOV.'!H9)</f>
        <v>0</v>
      </c>
      <c r="I26" s="125">
        <f>SUM('S INNOV.'!I9)</f>
        <v>0</v>
      </c>
    </row>
    <row r="27" spans="1:9" ht="21.95" customHeight="1" x14ac:dyDescent="0.25">
      <c r="A27" s="123" t="s">
        <v>131</v>
      </c>
      <c r="B27" s="143"/>
      <c r="C27" s="143"/>
      <c r="D27" s="109"/>
      <c r="E27" s="130"/>
      <c r="F27" s="124">
        <f t="shared" si="0"/>
        <v>3612</v>
      </c>
      <c r="G27" s="124">
        <f>SUM('S MOV.TRANSP.'!G9)</f>
        <v>3612</v>
      </c>
      <c r="H27" s="124">
        <f>SUM('S MOV.TRANSP.'!H9)</f>
        <v>0</v>
      </c>
      <c r="I27" s="125">
        <f>SUM('S MOV.TRANSP.'!I9)</f>
        <v>0</v>
      </c>
    </row>
    <row r="28" spans="1:9" ht="21.95" customHeight="1" thickBot="1" x14ac:dyDescent="0.3">
      <c r="A28" s="149"/>
      <c r="B28" s="150"/>
      <c r="C28" s="150"/>
      <c r="D28" s="151"/>
      <c r="E28" s="152"/>
      <c r="F28" s="151"/>
      <c r="G28" s="151"/>
      <c r="H28" s="151"/>
      <c r="I28" s="153"/>
    </row>
    <row r="29" spans="1:9" ht="21.95" customHeight="1" thickBot="1" x14ac:dyDescent="0.3">
      <c r="A29" s="594" t="s">
        <v>133</v>
      </c>
      <c r="B29" s="620" t="e">
        <f t="shared" ref="B29:I29" si="1">SUM(B7:B28)</f>
        <v>#REF!</v>
      </c>
      <c r="C29" s="620" t="e">
        <f t="shared" si="1"/>
        <v>#REF!</v>
      </c>
      <c r="D29" s="620" t="e">
        <f t="shared" si="1"/>
        <v>#REF!</v>
      </c>
      <c r="E29" s="620" t="e">
        <f t="shared" si="1"/>
        <v>#REF!</v>
      </c>
      <c r="F29" s="592">
        <f t="shared" si="1"/>
        <v>252979</v>
      </c>
      <c r="G29" s="592">
        <f t="shared" si="1"/>
        <v>252979</v>
      </c>
      <c r="H29" s="592">
        <f t="shared" si="1"/>
        <v>0</v>
      </c>
      <c r="I29" s="592">
        <f t="shared" si="1"/>
        <v>0</v>
      </c>
    </row>
    <row r="30" spans="1:9" ht="21.95" customHeight="1" x14ac:dyDescent="0.25"/>
    <row r="31" spans="1:9" ht="21.95" customHeight="1" x14ac:dyDescent="0.25">
      <c r="A31" s="156"/>
      <c r="B31" s="156"/>
      <c r="C31" s="156"/>
    </row>
    <row r="33" spans="4:6" ht="15" customHeight="1" x14ac:dyDescent="0.25">
      <c r="D33" s="5"/>
      <c r="E33" s="5"/>
      <c r="F33" s="5"/>
    </row>
  </sheetData>
  <mergeCells count="7">
    <mergeCell ref="A1:I1"/>
    <mergeCell ref="A2:I2"/>
    <mergeCell ref="A4:A5"/>
    <mergeCell ref="B4:C4"/>
    <mergeCell ref="D4:E4"/>
    <mergeCell ref="F4:I4"/>
    <mergeCell ref="A3:I3"/>
  </mergeCells>
  <phoneticPr fontId="23" type="noConversion"/>
  <printOptions horizontalCentered="1"/>
  <pageMargins left="0.9055118110236221" right="0.31496062992125984" top="1.1023622047244095" bottom="0.55118110236220474" header="0.31496062992125984" footer="0.31496062992125984"/>
  <pageSetup fitToHeight="5" orientation="portrait" horizontalDpi="3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ySplit="4" topLeftCell="A5" activePane="bottomLeft" state="frozen"/>
      <selection activeCell="C31" sqref="C31"/>
      <selection pane="bottomLeft" activeCell="G9" sqref="G9"/>
    </sheetView>
  </sheetViews>
  <sheetFormatPr baseColWidth="10" defaultColWidth="11.42578125" defaultRowHeight="15" customHeight="1" x14ac:dyDescent="0.25"/>
  <cols>
    <col min="1" max="1" width="31.28515625" bestFit="1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75" customHeight="1" x14ac:dyDescent="0.25">
      <c r="A1" s="918" t="s">
        <v>180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15" t="s">
        <v>0</v>
      </c>
      <c r="B2" s="916"/>
      <c r="C2" s="916"/>
      <c r="D2" s="916"/>
      <c r="E2" s="916"/>
      <c r="F2" s="916"/>
      <c r="G2" s="916"/>
      <c r="H2" s="916"/>
      <c r="I2" s="917"/>
    </row>
    <row r="3" spans="1:9" ht="21.95" customHeight="1" thickBot="1" x14ac:dyDescent="0.3">
      <c r="A3" s="921" t="s">
        <v>1</v>
      </c>
      <c r="B3" s="815">
        <v>2010</v>
      </c>
      <c r="C3" s="816"/>
      <c r="D3" s="815">
        <v>2011</v>
      </c>
      <c r="E3" s="816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492"/>
      <c r="B5" s="96"/>
      <c r="C5" s="96"/>
      <c r="D5" s="493"/>
      <c r="E5" s="493"/>
      <c r="F5" s="493"/>
      <c r="G5" s="493"/>
      <c r="H5" s="493"/>
      <c r="I5" s="494"/>
    </row>
    <row r="6" spans="1:9" ht="21.95" customHeight="1" x14ac:dyDescent="0.25">
      <c r="A6" s="621" t="s">
        <v>15</v>
      </c>
      <c r="B6" s="623">
        <f>SUM(B7:B9)</f>
        <v>33224</v>
      </c>
      <c r="C6" s="623">
        <f>SUM(C7:C9)</f>
        <v>40216</v>
      </c>
      <c r="D6" s="623">
        <f>SUM(D7:D9)</f>
        <v>42182</v>
      </c>
      <c r="E6" s="623">
        <f>SUM(E7:E9)</f>
        <v>46315</v>
      </c>
      <c r="F6" s="623">
        <f t="shared" ref="F6:F14" si="0">SUM(G6:I6)</f>
        <v>33224</v>
      </c>
      <c r="G6" s="623">
        <f>SUM(G7:G10)</f>
        <v>33224</v>
      </c>
      <c r="H6" s="623">
        <f>SUM(H7:H9)</f>
        <v>0</v>
      </c>
      <c r="I6" s="624">
        <f>SUM(I7:I9)</f>
        <v>0</v>
      </c>
    </row>
    <row r="7" spans="1:9" ht="21.95" customHeight="1" x14ac:dyDescent="0.25">
      <c r="A7" s="160" t="s">
        <v>138</v>
      </c>
      <c r="B7" s="161">
        <v>25795</v>
      </c>
      <c r="C7" s="161">
        <v>27834</v>
      </c>
      <c r="D7" s="157">
        <v>34102</v>
      </c>
      <c r="E7" s="162">
        <v>35442</v>
      </c>
      <c r="F7" s="161">
        <f t="shared" si="0"/>
        <v>25795</v>
      </c>
      <c r="G7" s="162">
        <v>25795</v>
      </c>
      <c r="H7" s="161">
        <v>0</v>
      </c>
      <c r="I7" s="163">
        <v>0</v>
      </c>
    </row>
    <row r="8" spans="1:9" ht="21.95" customHeight="1" x14ac:dyDescent="0.25">
      <c r="A8" s="164" t="s">
        <v>139</v>
      </c>
      <c r="B8" s="165">
        <v>3247</v>
      </c>
      <c r="C8" s="165">
        <v>6329</v>
      </c>
      <c r="D8" s="109">
        <v>3350</v>
      </c>
      <c r="E8" s="166">
        <v>4673</v>
      </c>
      <c r="F8" s="165">
        <f t="shared" si="0"/>
        <v>3247</v>
      </c>
      <c r="G8" s="166">
        <v>3247</v>
      </c>
      <c r="H8" s="165">
        <v>0</v>
      </c>
      <c r="I8" s="168">
        <v>0</v>
      </c>
    </row>
    <row r="9" spans="1:9" ht="21.95" customHeight="1" x14ac:dyDescent="0.25">
      <c r="A9" s="164" t="s">
        <v>140</v>
      </c>
      <c r="B9" s="165">
        <v>4182</v>
      </c>
      <c r="C9" s="165">
        <v>6053</v>
      </c>
      <c r="D9" s="109">
        <v>4730</v>
      </c>
      <c r="E9" s="166">
        <v>6200</v>
      </c>
      <c r="F9" s="165">
        <f t="shared" si="0"/>
        <v>4182</v>
      </c>
      <c r="G9" s="166">
        <v>4182</v>
      </c>
      <c r="H9" s="165">
        <v>0</v>
      </c>
      <c r="I9" s="168">
        <v>0</v>
      </c>
    </row>
    <row r="10" spans="1:9" ht="21.95" customHeight="1" x14ac:dyDescent="0.25">
      <c r="A10" s="144"/>
      <c r="B10" s="170"/>
      <c r="C10" s="170"/>
      <c r="D10" s="146"/>
      <c r="E10" s="146"/>
      <c r="F10" s="146">
        <f t="shared" si="0"/>
        <v>0</v>
      </c>
      <c r="G10" s="146"/>
      <c r="H10" s="146"/>
      <c r="I10" s="148"/>
    </row>
    <row r="11" spans="1:9" ht="21.95" customHeight="1" x14ac:dyDescent="0.25">
      <c r="A11" s="497"/>
      <c r="B11" s="498"/>
      <c r="C11" s="498"/>
      <c r="D11" s="158"/>
      <c r="E11" s="158"/>
      <c r="F11" s="158"/>
      <c r="G11" s="158"/>
      <c r="H11" s="158"/>
      <c r="I11" s="499"/>
    </row>
    <row r="12" spans="1:9" ht="21.95" customHeight="1" x14ac:dyDescent="0.25">
      <c r="A12" s="621" t="s">
        <v>141</v>
      </c>
      <c r="B12" s="622"/>
      <c r="C12" s="622"/>
      <c r="D12" s="623"/>
      <c r="E12" s="623"/>
      <c r="F12" s="623">
        <f t="shared" si="0"/>
        <v>0</v>
      </c>
      <c r="G12" s="623">
        <v>0</v>
      </c>
      <c r="H12" s="623">
        <v>0</v>
      </c>
      <c r="I12" s="624">
        <v>0</v>
      </c>
    </row>
    <row r="13" spans="1:9" ht="21.95" customHeight="1" x14ac:dyDescent="0.25">
      <c r="A13" s="171"/>
      <c r="B13" s="172"/>
      <c r="C13" s="172"/>
      <c r="D13" s="173"/>
      <c r="E13" s="173"/>
      <c r="F13" s="173">
        <f t="shared" si="0"/>
        <v>0</v>
      </c>
      <c r="G13" s="173"/>
      <c r="H13" s="173"/>
      <c r="I13" s="174"/>
    </row>
    <row r="14" spans="1:9" ht="21.95" customHeight="1" x14ac:dyDescent="0.25">
      <c r="A14" s="621" t="s">
        <v>142</v>
      </c>
      <c r="B14" s="623" t="e">
        <f>#REF!+#REF!+#REF!</f>
        <v>#REF!</v>
      </c>
      <c r="C14" s="623" t="e">
        <f>#REF!+#REF!+#REF!</f>
        <v>#REF!</v>
      </c>
      <c r="D14" s="623" t="e">
        <f>#REF!+#REF!+#REF!</f>
        <v>#REF!</v>
      </c>
      <c r="E14" s="623" t="e">
        <f>#REF!+#REF!+#REF!</f>
        <v>#REF!</v>
      </c>
      <c r="F14" s="623">
        <f t="shared" si="0"/>
        <v>0</v>
      </c>
      <c r="G14" s="623">
        <v>0</v>
      </c>
      <c r="H14" s="623">
        <v>0</v>
      </c>
      <c r="I14" s="624">
        <v>0</v>
      </c>
    </row>
    <row r="15" spans="1:9" ht="21.95" customHeight="1" x14ac:dyDescent="0.25">
      <c r="A15" s="171"/>
      <c r="B15" s="172"/>
      <c r="C15" s="172"/>
      <c r="D15" s="175"/>
      <c r="E15" s="175"/>
      <c r="F15" s="175"/>
      <c r="G15" s="175"/>
      <c r="H15" s="175"/>
      <c r="I15" s="176"/>
    </row>
    <row r="16" spans="1:9" ht="21.95" customHeight="1" x14ac:dyDescent="0.25">
      <c r="A16" s="621" t="s">
        <v>136</v>
      </c>
      <c r="B16" s="625"/>
      <c r="C16" s="625"/>
      <c r="D16" s="626"/>
      <c r="E16" s="626"/>
      <c r="F16" s="626">
        <f>SUM(G16:I16)</f>
        <v>23000</v>
      </c>
      <c r="G16" s="626">
        <f>SUM(G17:G20)</f>
        <v>23000</v>
      </c>
      <c r="H16" s="626">
        <f>SUM(H17:H20)</f>
        <v>0</v>
      </c>
      <c r="I16" s="627">
        <f>SUM(I17:I20)</f>
        <v>0</v>
      </c>
    </row>
    <row r="17" spans="1:9" ht="21.95" customHeight="1" x14ac:dyDescent="0.25">
      <c r="A17" s="177"/>
      <c r="B17" s="178"/>
      <c r="C17" s="178"/>
      <c r="D17" s="179"/>
      <c r="E17" s="179"/>
      <c r="F17" s="179">
        <f>SUM(G17:I17)</f>
        <v>0</v>
      </c>
      <c r="G17" s="179"/>
      <c r="H17" s="179"/>
      <c r="I17" s="180"/>
    </row>
    <row r="18" spans="1:9" ht="21.95" customHeight="1" x14ac:dyDescent="0.25">
      <c r="A18" s="181" t="s">
        <v>346</v>
      </c>
      <c r="B18" s="84"/>
      <c r="C18" s="84"/>
      <c r="D18" s="81"/>
      <c r="E18" s="81"/>
      <c r="F18" s="81">
        <f>SUM(G18:I18)</f>
        <v>8000</v>
      </c>
      <c r="G18" s="81">
        <v>8000</v>
      </c>
      <c r="H18" s="81">
        <v>0</v>
      </c>
      <c r="I18" s="82">
        <v>0</v>
      </c>
    </row>
    <row r="19" spans="1:9" ht="21.95" customHeight="1" x14ac:dyDescent="0.25">
      <c r="A19" s="181" t="s">
        <v>143</v>
      </c>
      <c r="B19" s="84"/>
      <c r="C19" s="84"/>
      <c r="D19" s="81"/>
      <c r="E19" s="81"/>
      <c r="F19" s="81">
        <f>SUM(G19:I19)</f>
        <v>8000</v>
      </c>
      <c r="G19" s="81">
        <v>8000</v>
      </c>
      <c r="H19" s="81"/>
      <c r="I19" s="82"/>
    </row>
    <row r="20" spans="1:9" ht="21.95" customHeight="1" thickBot="1" x14ac:dyDescent="0.3">
      <c r="A20" s="182" t="s">
        <v>347</v>
      </c>
      <c r="B20" s="183"/>
      <c r="C20" s="183"/>
      <c r="D20" s="112"/>
      <c r="E20" s="112"/>
      <c r="F20" s="81">
        <f>SUM(G20:I20)</f>
        <v>7000</v>
      </c>
      <c r="G20" s="112">
        <v>7000</v>
      </c>
      <c r="H20" s="112"/>
      <c r="I20" s="184"/>
    </row>
    <row r="21" spans="1:9" ht="21.95" customHeight="1" thickBot="1" x14ac:dyDescent="0.3">
      <c r="A21" s="571" t="s">
        <v>100</v>
      </c>
      <c r="B21" s="628" t="e">
        <f>B6+B12+B14</f>
        <v>#REF!</v>
      </c>
      <c r="C21" s="628" t="e">
        <f>C6+C12+C14</f>
        <v>#REF!</v>
      </c>
      <c r="D21" s="628" t="e">
        <f>D6+D12+D14</f>
        <v>#REF!</v>
      </c>
      <c r="E21" s="629" t="e">
        <f>E6+E12+E14</f>
        <v>#REF!</v>
      </c>
      <c r="F21" s="592">
        <f>F6+F12+F14+F16</f>
        <v>56224</v>
      </c>
      <c r="G21" s="592">
        <f>G6+G12+G14+G16</f>
        <v>56224</v>
      </c>
      <c r="H21" s="592">
        <f>H6+H12+H14+H16</f>
        <v>0</v>
      </c>
      <c r="I21" s="592">
        <f>I6+I12+I14+I16</f>
        <v>0</v>
      </c>
    </row>
    <row r="22" spans="1:9" ht="21.95" customHeight="1" x14ac:dyDescent="0.25"/>
    <row r="23" spans="1:9" ht="21.95" customHeight="1" x14ac:dyDescent="0.25">
      <c r="A23" s="156"/>
      <c r="B23" s="156"/>
      <c r="C23" s="156"/>
    </row>
  </sheetData>
  <mergeCells count="6">
    <mergeCell ref="A2:I2"/>
    <mergeCell ref="A1:I1"/>
    <mergeCell ref="A3:A4"/>
    <mergeCell ref="B3:C3"/>
    <mergeCell ref="D3:E3"/>
    <mergeCell ref="F3:I3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G10" sqref="G10"/>
    </sheetView>
  </sheetViews>
  <sheetFormatPr baseColWidth="10" defaultColWidth="11.42578125" defaultRowHeight="15" customHeight="1" x14ac:dyDescent="0.25"/>
  <cols>
    <col min="1" max="1" width="41.140625" bestFit="1" customWidth="1"/>
    <col min="2" max="3" width="12.7109375" hidden="1" customWidth="1"/>
    <col min="4" max="4" width="13.140625" hidden="1" customWidth="1"/>
    <col min="5" max="5" width="9.7109375" hidden="1" customWidth="1"/>
    <col min="6" max="6" width="11.42578125" customWidth="1"/>
    <col min="7" max="7" width="14.140625" bestFit="1" customWidth="1"/>
    <col min="8" max="8" width="11.5703125" bestFit="1" customWidth="1"/>
    <col min="9" max="9" width="11" customWidth="1"/>
    <col min="10" max="10" width="2.42578125" customWidth="1"/>
  </cols>
  <sheetData>
    <row r="1" spans="1:13" ht="21.95" customHeight="1" x14ac:dyDescent="0.25">
      <c r="A1" s="918" t="s">
        <v>265</v>
      </c>
      <c r="B1" s="919"/>
      <c r="C1" s="919"/>
      <c r="D1" s="919"/>
      <c r="E1" s="919"/>
      <c r="F1" s="919"/>
      <c r="G1" s="919"/>
      <c r="H1" s="919"/>
      <c r="I1" s="920"/>
    </row>
    <row r="2" spans="1:13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13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13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13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13" ht="21.95" customHeight="1" x14ac:dyDescent="0.25">
      <c r="A6" s="435" t="s">
        <v>15</v>
      </c>
      <c r="B6" s="433">
        <f>B7+B8+B9</f>
        <v>79252</v>
      </c>
      <c r="C6" s="433">
        <f>C7+C8+C9</f>
        <v>96581</v>
      </c>
      <c r="D6" s="433">
        <f>D7+D8+D9</f>
        <v>106509</v>
      </c>
      <c r="E6" s="433">
        <f>E7+E8+E9</f>
        <v>103155</v>
      </c>
      <c r="F6" s="433">
        <f t="shared" ref="F6:F12" si="0">SUM(G6:I6)</f>
        <v>278343</v>
      </c>
      <c r="G6" s="433">
        <f>SUM(G7:G11)</f>
        <v>278343</v>
      </c>
      <c r="H6" s="433">
        <f>SUM(H7:H9)</f>
        <v>0</v>
      </c>
      <c r="I6" s="434">
        <f>SUM(I7:I9)</f>
        <v>0</v>
      </c>
    </row>
    <row r="7" spans="1:13" ht="21.95" customHeight="1" x14ac:dyDescent="0.25">
      <c r="A7" s="187" t="s">
        <v>144</v>
      </c>
      <c r="B7" s="188">
        <v>66771</v>
      </c>
      <c r="C7" s="188">
        <v>82673</v>
      </c>
      <c r="D7" s="189">
        <v>90870</v>
      </c>
      <c r="E7" s="190">
        <v>87590</v>
      </c>
      <c r="F7" s="188">
        <f t="shared" si="0"/>
        <v>46771</v>
      </c>
      <c r="G7" s="188">
        <f>65771-19000</f>
        <v>46771</v>
      </c>
      <c r="H7" s="188">
        <v>0</v>
      </c>
      <c r="I7" s="191">
        <v>0</v>
      </c>
      <c r="M7" s="5"/>
    </row>
    <row r="8" spans="1:13" ht="21.95" customHeight="1" x14ac:dyDescent="0.25">
      <c r="A8" s="164" t="s">
        <v>139</v>
      </c>
      <c r="B8" s="165">
        <v>3660</v>
      </c>
      <c r="C8" s="165">
        <v>4047</v>
      </c>
      <c r="D8" s="109">
        <v>4440</v>
      </c>
      <c r="E8" s="166">
        <v>3644</v>
      </c>
      <c r="F8" s="165">
        <f t="shared" si="0"/>
        <v>3660</v>
      </c>
      <c r="G8" s="165">
        <f>3660</f>
        <v>3660</v>
      </c>
      <c r="H8" s="165">
        <v>0</v>
      </c>
      <c r="I8" s="167">
        <v>0</v>
      </c>
      <c r="M8" s="5"/>
    </row>
    <row r="9" spans="1:13" ht="21.95" customHeight="1" x14ac:dyDescent="0.25">
      <c r="A9" s="187" t="s">
        <v>140</v>
      </c>
      <c r="B9" s="188">
        <v>8821</v>
      </c>
      <c r="C9" s="188">
        <v>9861</v>
      </c>
      <c r="D9" s="189">
        <v>11199</v>
      </c>
      <c r="E9" s="190">
        <v>11921</v>
      </c>
      <c r="F9" s="188">
        <f t="shared" si="0"/>
        <v>8821</v>
      </c>
      <c r="G9" s="188">
        <f>8821</f>
        <v>8821</v>
      </c>
      <c r="H9" s="188">
        <v>0</v>
      </c>
      <c r="I9" s="191">
        <v>0</v>
      </c>
      <c r="M9" s="5"/>
    </row>
    <row r="10" spans="1:13" ht="21.95" customHeight="1" x14ac:dyDescent="0.25">
      <c r="A10" s="187" t="s">
        <v>553</v>
      </c>
      <c r="B10" s="188"/>
      <c r="C10" s="188"/>
      <c r="D10" s="189"/>
      <c r="E10" s="190"/>
      <c r="F10" s="188">
        <f t="shared" si="0"/>
        <v>216258</v>
      </c>
      <c r="G10" s="188">
        <v>216258</v>
      </c>
      <c r="H10" s="188"/>
      <c r="I10" s="191"/>
    </row>
    <row r="11" spans="1:13" ht="21.95" customHeight="1" x14ac:dyDescent="0.25">
      <c r="A11" s="187" t="s">
        <v>554</v>
      </c>
      <c r="B11" s="193"/>
      <c r="C11" s="193"/>
      <c r="D11" s="189"/>
      <c r="E11" s="189"/>
      <c r="F11" s="188">
        <f t="shared" si="0"/>
        <v>2833</v>
      </c>
      <c r="G11" s="189">
        <v>2833</v>
      </c>
      <c r="H11" s="189"/>
      <c r="I11" s="194"/>
    </row>
    <row r="12" spans="1:13" ht="21.95" customHeight="1" x14ac:dyDescent="0.25">
      <c r="A12" s="435" t="s">
        <v>141</v>
      </c>
      <c r="B12" s="436"/>
      <c r="C12" s="436"/>
      <c r="D12" s="433"/>
      <c r="E12" s="433"/>
      <c r="F12" s="433">
        <f t="shared" si="0"/>
        <v>0</v>
      </c>
      <c r="G12" s="433">
        <f>SUM(G13)</f>
        <v>0</v>
      </c>
      <c r="H12" s="433">
        <f t="shared" ref="H12:I12" si="1">SUM(H13)</f>
        <v>0</v>
      </c>
      <c r="I12" s="434">
        <f t="shared" si="1"/>
        <v>0</v>
      </c>
    </row>
    <row r="13" spans="1:13" ht="21.95" customHeight="1" x14ac:dyDescent="0.25">
      <c r="A13" s="196"/>
      <c r="B13" s="197"/>
      <c r="C13" s="197"/>
      <c r="D13" s="189"/>
      <c r="E13" s="189"/>
      <c r="F13" s="189"/>
      <c r="G13" s="189"/>
      <c r="H13" s="189"/>
      <c r="I13" s="194"/>
    </row>
    <row r="14" spans="1:13" ht="21.95" customHeight="1" x14ac:dyDescent="0.25">
      <c r="A14" s="435" t="s">
        <v>142</v>
      </c>
      <c r="B14" s="433" t="e">
        <f>#REF!+#REF!+#REF!</f>
        <v>#REF!</v>
      </c>
      <c r="C14" s="433" t="e">
        <f>#REF!+#REF!+#REF!</f>
        <v>#REF!</v>
      </c>
      <c r="D14" s="433" t="e">
        <f>#REF!+#REF!+#REF!</f>
        <v>#REF!</v>
      </c>
      <c r="E14" s="433" t="e">
        <f>#REF!+#REF!+#REF!+#REF!+E16</f>
        <v>#REF!</v>
      </c>
      <c r="F14" s="433">
        <f>SUM(G14:I14)</f>
        <v>0</v>
      </c>
      <c r="G14" s="433">
        <f>SUM(G15:G15)</f>
        <v>0</v>
      </c>
      <c r="H14" s="433">
        <f>SUM(H15:H15)</f>
        <v>0</v>
      </c>
      <c r="I14" s="434">
        <f>SUM(I15:I15)</f>
        <v>0</v>
      </c>
    </row>
    <row r="15" spans="1:13" ht="21.95" customHeight="1" x14ac:dyDescent="0.25">
      <c r="A15" s="123"/>
      <c r="B15" s="108"/>
      <c r="C15" s="108"/>
      <c r="D15" s="108"/>
      <c r="E15" s="108"/>
      <c r="F15" s="109">
        <f>SUM(G15:I15)</f>
        <v>0</v>
      </c>
      <c r="G15" s="198"/>
      <c r="H15" s="109">
        <v>0</v>
      </c>
      <c r="I15" s="125"/>
    </row>
    <row r="16" spans="1:13" ht="21.95" customHeight="1" x14ac:dyDescent="0.25">
      <c r="A16" s="431" t="s">
        <v>136</v>
      </c>
      <c r="B16" s="432"/>
      <c r="C16" s="432"/>
      <c r="D16" s="433"/>
      <c r="E16" s="433"/>
      <c r="F16" s="433">
        <f t="shared" ref="F16:F21" si="2">SUM(G16:I16)</f>
        <v>96728</v>
      </c>
      <c r="G16" s="433">
        <f>SUM(G17:G24)</f>
        <v>96728</v>
      </c>
      <c r="H16" s="433">
        <f t="shared" ref="H16:I16" si="3">SUM(H17:H24)</f>
        <v>0</v>
      </c>
      <c r="I16" s="434">
        <f t="shared" si="3"/>
        <v>0</v>
      </c>
    </row>
    <row r="17" spans="1:10" ht="21.95" customHeight="1" x14ac:dyDescent="0.25">
      <c r="A17" s="201" t="s">
        <v>145</v>
      </c>
      <c r="B17" s="190"/>
      <c r="C17" s="190"/>
      <c r="D17" s="189"/>
      <c r="E17" s="189"/>
      <c r="F17" s="189">
        <f t="shared" si="2"/>
        <v>495</v>
      </c>
      <c r="G17" s="189">
        <v>495</v>
      </c>
      <c r="H17" s="189">
        <v>0</v>
      </c>
      <c r="I17" s="194">
        <v>0</v>
      </c>
    </row>
    <row r="18" spans="1:10" ht="21.95" customHeight="1" x14ac:dyDescent="0.25">
      <c r="A18" s="123" t="s">
        <v>146</v>
      </c>
      <c r="B18" s="202"/>
      <c r="C18" s="202"/>
      <c r="D18" s="109"/>
      <c r="E18" s="109"/>
      <c r="F18" s="109">
        <f t="shared" si="2"/>
        <v>6185</v>
      </c>
      <c r="G18" s="109">
        <v>6185</v>
      </c>
      <c r="H18" s="109">
        <v>0</v>
      </c>
      <c r="I18" s="125">
        <v>0</v>
      </c>
      <c r="J18" s="203"/>
    </row>
    <row r="19" spans="1:10" ht="21.95" customHeight="1" x14ac:dyDescent="0.25">
      <c r="A19" s="123" t="s">
        <v>147</v>
      </c>
      <c r="B19" s="202"/>
      <c r="C19" s="202"/>
      <c r="D19" s="109"/>
      <c r="E19" s="109"/>
      <c r="F19" s="109">
        <f t="shared" si="2"/>
        <v>2093</v>
      </c>
      <c r="G19" s="109">
        <v>2093</v>
      </c>
      <c r="H19" s="109">
        <v>0</v>
      </c>
      <c r="I19" s="125">
        <v>0</v>
      </c>
    </row>
    <row r="20" spans="1:10" ht="21.95" customHeight="1" x14ac:dyDescent="0.25">
      <c r="A20" s="123" t="s">
        <v>148</v>
      </c>
      <c r="B20" s="202"/>
      <c r="C20" s="202"/>
      <c r="D20" s="109"/>
      <c r="E20" s="109"/>
      <c r="F20" s="109">
        <f t="shared" si="2"/>
        <v>7535</v>
      </c>
      <c r="G20" s="109">
        <v>7535</v>
      </c>
      <c r="H20" s="109">
        <v>0</v>
      </c>
      <c r="I20" s="125">
        <v>0</v>
      </c>
    </row>
    <row r="21" spans="1:10" ht="15.75" x14ac:dyDescent="0.25">
      <c r="A21" s="570" t="s">
        <v>350</v>
      </c>
      <c r="B21" s="500"/>
      <c r="C21" s="500"/>
      <c r="D21" s="146"/>
      <c r="E21" s="146"/>
      <c r="F21" s="146">
        <f t="shared" si="2"/>
        <v>26087</v>
      </c>
      <c r="G21" s="146">
        <f>16555+9532</f>
        <v>26087</v>
      </c>
      <c r="H21" s="146">
        <v>0</v>
      </c>
      <c r="I21" s="148">
        <v>0</v>
      </c>
    </row>
    <row r="22" spans="1:10" ht="21.95" customHeight="1" x14ac:dyDescent="0.25">
      <c r="A22" s="314" t="s">
        <v>194</v>
      </c>
      <c r="B22" s="166"/>
      <c r="C22" s="166"/>
      <c r="D22" s="109"/>
      <c r="E22" s="109"/>
      <c r="F22" s="109">
        <f>SUM(G22:I22)</f>
        <v>11583</v>
      </c>
      <c r="G22" s="109">
        <f>9250+2333</f>
        <v>11583</v>
      </c>
      <c r="H22" s="109">
        <v>0</v>
      </c>
      <c r="I22" s="125">
        <v>0</v>
      </c>
    </row>
    <row r="23" spans="1:10" ht="21.95" customHeight="1" x14ac:dyDescent="0.25">
      <c r="A23" s="314" t="s">
        <v>353</v>
      </c>
      <c r="B23" s="166"/>
      <c r="C23" s="166"/>
      <c r="D23" s="109"/>
      <c r="E23" s="109"/>
      <c r="F23" s="109">
        <f>SUM(G23:I23)</f>
        <v>2750</v>
      </c>
      <c r="G23" s="109">
        <f>1750+500+500</f>
        <v>2750</v>
      </c>
      <c r="H23" s="109"/>
      <c r="I23" s="125"/>
    </row>
    <row r="24" spans="1:10" ht="21.95" customHeight="1" thickBot="1" x14ac:dyDescent="0.3">
      <c r="A24" s="497" t="s">
        <v>332</v>
      </c>
      <c r="B24" s="568"/>
      <c r="C24" s="568"/>
      <c r="D24" s="158"/>
      <c r="E24" s="569"/>
      <c r="F24" s="109">
        <f t="shared" ref="F24" si="4">SUM(G24:I24)</f>
        <v>40000</v>
      </c>
      <c r="G24" s="158">
        <v>40000</v>
      </c>
      <c r="H24" s="158"/>
      <c r="I24" s="499"/>
    </row>
    <row r="25" spans="1:10" ht="21.95" customHeight="1" thickBot="1" x14ac:dyDescent="0.3">
      <c r="A25" s="428" t="s">
        <v>100</v>
      </c>
      <c r="B25" s="429" t="e">
        <f>B6+B12+B14</f>
        <v>#REF!</v>
      </c>
      <c r="C25" s="429" t="e">
        <f>C6+C12+C14</f>
        <v>#REF!</v>
      </c>
      <c r="D25" s="429" t="e">
        <f>D6+D12+D14</f>
        <v>#REF!</v>
      </c>
      <c r="E25" s="430" t="e">
        <f>E6+E12+E14</f>
        <v>#REF!</v>
      </c>
      <c r="F25" s="429">
        <f>F6+F12+F14+F16</f>
        <v>375071</v>
      </c>
      <c r="G25" s="429">
        <f>G6+G12+G14+G16</f>
        <v>375071</v>
      </c>
      <c r="H25" s="429">
        <f>H6+H12+H14+H16</f>
        <v>0</v>
      </c>
      <c r="I25" s="445">
        <f>I6+I12+I14+I16</f>
        <v>0</v>
      </c>
    </row>
    <row r="26" spans="1:10" ht="21.95" customHeight="1" x14ac:dyDescent="0.25"/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9055118110236221" right="0.31496062992125984" top="1.1023622047244095" bottom="0.55118110236220474" header="0.31496062992125984" footer="0.31496062992125984"/>
  <pageSetup fitToHeight="5" orientation="portrait" horizontalDpi="300" verticalDpi="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9.28515625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11" ht="21.95" customHeight="1" x14ac:dyDescent="0.25">
      <c r="A1" s="918" t="s">
        <v>266</v>
      </c>
      <c r="B1" s="919"/>
      <c r="C1" s="919"/>
      <c r="D1" s="919"/>
      <c r="E1" s="919"/>
      <c r="F1" s="919"/>
      <c r="G1" s="919"/>
      <c r="H1" s="919"/>
      <c r="I1" s="920"/>
    </row>
    <row r="2" spans="1:11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11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11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11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11" ht="21.95" customHeight="1" x14ac:dyDescent="0.25">
      <c r="A6" s="435" t="s">
        <v>15</v>
      </c>
      <c r="B6" s="433">
        <f>SUM(B7:B9)</f>
        <v>118460</v>
      </c>
      <c r="C6" s="433">
        <f>SUM(C7:C9)</f>
        <v>130999</v>
      </c>
      <c r="D6" s="433">
        <f>SUM(D7:D9)</f>
        <v>149051</v>
      </c>
      <c r="E6" s="433">
        <f>SUM(E7:E9)</f>
        <v>150642</v>
      </c>
      <c r="F6" s="433">
        <f>SUM(G6:I6)</f>
        <v>88673</v>
      </c>
      <c r="G6" s="433">
        <f>SUM(G7:G10)</f>
        <v>88673</v>
      </c>
      <c r="H6" s="433">
        <f>SUM(H7:H9)</f>
        <v>0</v>
      </c>
      <c r="I6" s="434">
        <f>SUM(I7:I9)</f>
        <v>0</v>
      </c>
    </row>
    <row r="7" spans="1:11" ht="21.95" customHeight="1" x14ac:dyDescent="0.25">
      <c r="A7" s="187" t="s">
        <v>138</v>
      </c>
      <c r="B7" s="188">
        <v>100180</v>
      </c>
      <c r="C7" s="188">
        <v>111368</v>
      </c>
      <c r="D7" s="189">
        <v>128253</v>
      </c>
      <c r="E7" s="190">
        <v>127433</v>
      </c>
      <c r="F7" s="165">
        <f>SUM(G7:I7)</f>
        <v>75088</v>
      </c>
      <c r="G7" s="165">
        <v>75088</v>
      </c>
      <c r="H7" s="165">
        <v>0</v>
      </c>
      <c r="I7" s="167">
        <v>0</v>
      </c>
      <c r="K7" s="639"/>
    </row>
    <row r="8" spans="1:11" ht="21.95" customHeight="1" x14ac:dyDescent="0.25">
      <c r="A8" s="164" t="s">
        <v>139</v>
      </c>
      <c r="B8" s="165">
        <v>3256</v>
      </c>
      <c r="C8" s="165">
        <v>4105</v>
      </c>
      <c r="D8" s="109">
        <v>4256</v>
      </c>
      <c r="E8" s="166">
        <v>5468</v>
      </c>
      <c r="F8" s="165">
        <f>SUM(G8:I8)</f>
        <v>5585</v>
      </c>
      <c r="G8" s="165">
        <v>5585</v>
      </c>
      <c r="H8" s="165">
        <v>0</v>
      </c>
      <c r="I8" s="167">
        <v>0</v>
      </c>
    </row>
    <row r="9" spans="1:11" ht="21.95" customHeight="1" x14ac:dyDescent="0.25">
      <c r="A9" s="187" t="s">
        <v>140</v>
      </c>
      <c r="B9" s="188">
        <v>15024</v>
      </c>
      <c r="C9" s="188">
        <v>15526</v>
      </c>
      <c r="D9" s="189">
        <v>16542</v>
      </c>
      <c r="E9" s="190">
        <v>17741</v>
      </c>
      <c r="F9" s="165">
        <f>SUM(G9:I9)</f>
        <v>8000</v>
      </c>
      <c r="G9" s="165">
        <v>8000</v>
      </c>
      <c r="H9" s="165">
        <v>0</v>
      </c>
      <c r="I9" s="167">
        <v>0</v>
      </c>
    </row>
    <row r="10" spans="1:11" ht="21.95" customHeight="1" x14ac:dyDescent="0.25">
      <c r="A10" s="187"/>
      <c r="B10" s="193"/>
      <c r="C10" s="193"/>
      <c r="D10" s="189"/>
      <c r="E10" s="189"/>
      <c r="F10" s="165"/>
      <c r="G10" s="189"/>
      <c r="H10" s="189"/>
      <c r="I10" s="194"/>
    </row>
    <row r="11" spans="1:11" ht="21.9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0">SUM(H12)</f>
        <v>0</v>
      </c>
      <c r="I11" s="434">
        <f t="shared" si="0"/>
        <v>0</v>
      </c>
    </row>
    <row r="12" spans="1:11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11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SUM(#REF!,#REF!,#REF!,#REF!,#REF!)</f>
        <v>#REF!</v>
      </c>
      <c r="F13" s="433">
        <f t="shared" ref="F13:F18" si="1">SUM(G13:I13)</f>
        <v>254241</v>
      </c>
      <c r="G13" s="433">
        <f>SUM(G14:G15)</f>
        <v>0</v>
      </c>
      <c r="H13" s="433">
        <f>SUM(H14:H15)</f>
        <v>254241</v>
      </c>
      <c r="I13" s="434">
        <f>SUM(I14:I15)</f>
        <v>0</v>
      </c>
    </row>
    <row r="14" spans="1:11" ht="21.95" customHeight="1" x14ac:dyDescent="0.25">
      <c r="A14" s="164" t="s">
        <v>64</v>
      </c>
      <c r="B14" s="165"/>
      <c r="C14" s="165"/>
      <c r="D14" s="109"/>
      <c r="E14" s="109"/>
      <c r="F14" s="109">
        <f t="shared" si="1"/>
        <v>254241</v>
      </c>
      <c r="G14" s="109">
        <v>0</v>
      </c>
      <c r="H14" s="109">
        <f>'Ingresos Totales 2'!H39-164535</f>
        <v>254241</v>
      </c>
      <c r="I14" s="125">
        <v>0</v>
      </c>
    </row>
    <row r="15" spans="1:11" ht="21.95" customHeight="1" x14ac:dyDescent="0.25">
      <c r="A15" s="201"/>
      <c r="B15" s="210"/>
      <c r="C15" s="210"/>
      <c r="D15" s="189">
        <v>99658</v>
      </c>
      <c r="E15" s="189"/>
      <c r="F15" s="189"/>
      <c r="G15" s="189"/>
      <c r="H15" s="189"/>
      <c r="I15" s="194"/>
    </row>
    <row r="16" spans="1:11" ht="21.95" customHeight="1" x14ac:dyDescent="0.25">
      <c r="A16" s="431" t="s">
        <v>136</v>
      </c>
      <c r="B16" s="432"/>
      <c r="C16" s="432"/>
      <c r="D16" s="433"/>
      <c r="E16" s="433"/>
      <c r="F16" s="433">
        <f t="shared" si="1"/>
        <v>1573</v>
      </c>
      <c r="G16" s="433">
        <f>SUM(G17:G18)</f>
        <v>1573</v>
      </c>
      <c r="H16" s="433">
        <f>SUM(H17:H18)</f>
        <v>0</v>
      </c>
      <c r="I16" s="434">
        <f>SUM(I17:I18)</f>
        <v>0</v>
      </c>
    </row>
    <row r="17" spans="1:9" ht="15.75" customHeight="1" x14ac:dyDescent="0.25">
      <c r="A17" s="211" t="s">
        <v>149</v>
      </c>
      <c r="B17" s="197"/>
      <c r="C17" s="197"/>
      <c r="D17" s="189"/>
      <c r="E17" s="212"/>
      <c r="F17" s="189">
        <f t="shared" si="1"/>
        <v>1001</v>
      </c>
      <c r="G17" s="189">
        <f>'Ingr Propios 3'!F39</f>
        <v>1001</v>
      </c>
      <c r="H17" s="189">
        <v>0</v>
      </c>
      <c r="I17" s="194">
        <v>0</v>
      </c>
    </row>
    <row r="18" spans="1:9" ht="16.5" customHeight="1" thickBot="1" x14ac:dyDescent="0.3">
      <c r="A18" s="213" t="s">
        <v>150</v>
      </c>
      <c r="B18" s="214"/>
      <c r="C18" s="214"/>
      <c r="D18" s="132"/>
      <c r="E18" s="215"/>
      <c r="F18" s="132">
        <f t="shared" si="1"/>
        <v>572</v>
      </c>
      <c r="G18" s="132">
        <v>572</v>
      </c>
      <c r="H18" s="132"/>
      <c r="I18" s="135"/>
    </row>
    <row r="19" spans="1:9" ht="21.95" customHeight="1" thickBot="1" x14ac:dyDescent="0.3">
      <c r="A19" s="428" t="s">
        <v>100</v>
      </c>
      <c r="B19" s="429" t="e">
        <f>B6+B11+B13</f>
        <v>#REF!</v>
      </c>
      <c r="C19" s="429" t="e">
        <f>C6+C11+C13</f>
        <v>#REF!</v>
      </c>
      <c r="D19" s="429" t="e">
        <f>D6+D11+D13</f>
        <v>#REF!</v>
      </c>
      <c r="E19" s="430" t="e">
        <f>E6+E11+E13</f>
        <v>#REF!</v>
      </c>
      <c r="F19" s="429">
        <f>F6+F11+F13+F16</f>
        <v>344487</v>
      </c>
      <c r="G19" s="429">
        <f>G6+G11+G13+G16</f>
        <v>90246</v>
      </c>
      <c r="H19" s="429">
        <f>H6+H11+H13+H16</f>
        <v>254241</v>
      </c>
      <c r="I19" s="429">
        <f>I6+I11+I13+I16</f>
        <v>0</v>
      </c>
    </row>
    <row r="20" spans="1:9" ht="21.95" customHeight="1" x14ac:dyDescent="0.25"/>
    <row r="21" spans="1:9" ht="21.95" customHeight="1" x14ac:dyDescent="0.25">
      <c r="A21" s="156"/>
      <c r="B21" s="156"/>
      <c r="C21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7.85546875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75" customHeight="1" x14ac:dyDescent="0.25">
      <c r="A1" s="918" t="s">
        <v>267</v>
      </c>
      <c r="B1" s="919"/>
      <c r="C1" s="919"/>
      <c r="D1" s="919"/>
      <c r="E1" s="919"/>
      <c r="F1" s="919"/>
      <c r="G1" s="919"/>
      <c r="H1" s="919"/>
      <c r="I1" s="920"/>
    </row>
    <row r="2" spans="1:9" ht="21.75" customHeight="1" thickBot="1" x14ac:dyDescent="0.3">
      <c r="A2" s="915" t="s">
        <v>0</v>
      </c>
      <c r="B2" s="916"/>
      <c r="C2" s="916"/>
      <c r="D2" s="916"/>
      <c r="E2" s="916"/>
      <c r="F2" s="916"/>
      <c r="G2" s="916"/>
      <c r="H2" s="916"/>
      <c r="I2" s="917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1"/>
      <c r="I5" s="122"/>
    </row>
    <row r="6" spans="1:9" ht="21.95" customHeight="1" x14ac:dyDescent="0.25">
      <c r="A6" s="435" t="s">
        <v>15</v>
      </c>
      <c r="B6" s="433">
        <f t="shared" ref="B6:I6" si="0">SUM(B7:B9)</f>
        <v>19582</v>
      </c>
      <c r="C6" s="433">
        <f t="shared" si="0"/>
        <v>20576</v>
      </c>
      <c r="D6" s="433">
        <f t="shared" si="0"/>
        <v>20009</v>
      </c>
      <c r="E6" s="433">
        <f t="shared" si="0"/>
        <v>21602</v>
      </c>
      <c r="F6" s="433">
        <f t="shared" si="0"/>
        <v>19582</v>
      </c>
      <c r="G6" s="433">
        <f t="shared" si="0"/>
        <v>19582</v>
      </c>
      <c r="H6" s="438">
        <f t="shared" si="0"/>
        <v>0</v>
      </c>
      <c r="I6" s="434">
        <f t="shared" si="0"/>
        <v>0</v>
      </c>
    </row>
    <row r="7" spans="1:9" ht="21.95" customHeight="1" x14ac:dyDescent="0.25">
      <c r="A7" s="187" t="s">
        <v>138</v>
      </c>
      <c r="B7" s="188">
        <v>16440</v>
      </c>
      <c r="C7" s="188">
        <v>17216</v>
      </c>
      <c r="D7" s="189">
        <v>16868</v>
      </c>
      <c r="E7" s="190">
        <v>18256</v>
      </c>
      <c r="F7" s="216">
        <f t="shared" ref="F7:F15" si="1">SUM(G7:I7)</f>
        <v>16440</v>
      </c>
      <c r="G7" s="190">
        <v>16440</v>
      </c>
      <c r="H7" s="217">
        <v>0</v>
      </c>
      <c r="I7" s="218">
        <v>0</v>
      </c>
    </row>
    <row r="8" spans="1:9" ht="21.95" customHeight="1" x14ac:dyDescent="0.25">
      <c r="A8" s="164" t="s">
        <v>139</v>
      </c>
      <c r="B8" s="165">
        <v>752</v>
      </c>
      <c r="C8" s="165">
        <v>929</v>
      </c>
      <c r="D8" s="109">
        <v>661</v>
      </c>
      <c r="E8" s="166">
        <v>800</v>
      </c>
      <c r="F8" s="165">
        <f t="shared" si="1"/>
        <v>752</v>
      </c>
      <c r="G8" s="166">
        <v>752</v>
      </c>
      <c r="H8" s="219">
        <v>0</v>
      </c>
      <c r="I8" s="168">
        <v>0</v>
      </c>
    </row>
    <row r="9" spans="1:9" ht="21.95" customHeight="1" x14ac:dyDescent="0.25">
      <c r="A9" s="187" t="s">
        <v>140</v>
      </c>
      <c r="B9" s="188">
        <v>2390</v>
      </c>
      <c r="C9" s="188">
        <v>2431</v>
      </c>
      <c r="D9" s="189">
        <v>2480</v>
      </c>
      <c r="E9" s="190">
        <v>2546</v>
      </c>
      <c r="F9" s="216">
        <f t="shared" si="1"/>
        <v>2390</v>
      </c>
      <c r="G9" s="190">
        <v>2390</v>
      </c>
      <c r="H9" s="217">
        <v>0</v>
      </c>
      <c r="I9" s="218">
        <v>0</v>
      </c>
    </row>
    <row r="10" spans="1:9" ht="21.95" customHeight="1" x14ac:dyDescent="0.25">
      <c r="A10" s="192"/>
      <c r="B10" s="193"/>
      <c r="C10" s="193"/>
      <c r="D10" s="189"/>
      <c r="E10" s="189"/>
      <c r="F10" s="199"/>
      <c r="G10" s="189"/>
      <c r="H10" s="220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 t="shared" si="1"/>
        <v>0</v>
      </c>
      <c r="G11" s="433">
        <f>SUM(G12)</f>
        <v>0</v>
      </c>
      <c r="H11" s="438">
        <f t="shared" ref="H11:I11" si="2">SUM(H12)</f>
        <v>0</v>
      </c>
      <c r="I11" s="434">
        <f t="shared" si="2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/>
      <c r="G12" s="189"/>
      <c r="H12" s="220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 t="shared" si="1"/>
        <v>240589</v>
      </c>
      <c r="G13" s="433">
        <f>SUM(G14:G15)</f>
        <v>240589</v>
      </c>
      <c r="H13" s="433">
        <f>SUM(H14:H14)</f>
        <v>0</v>
      </c>
      <c r="I13" s="434">
        <f>SUM(I14:I14)</f>
        <v>0</v>
      </c>
    </row>
    <row r="14" spans="1:9" ht="21.95" customHeight="1" x14ac:dyDescent="0.25">
      <c r="A14" s="164"/>
      <c r="B14" s="165"/>
      <c r="C14" s="165"/>
      <c r="D14" s="109">
        <v>14775</v>
      </c>
      <c r="E14" s="109">
        <v>49789</v>
      </c>
      <c r="F14" s="109"/>
      <c r="G14" s="198"/>
      <c r="H14" s="124"/>
      <c r="I14" s="125"/>
    </row>
    <row r="15" spans="1:9" ht="21.95" customHeight="1" x14ac:dyDescent="0.25">
      <c r="A15" s="201" t="s">
        <v>282</v>
      </c>
      <c r="B15" s="210"/>
      <c r="C15" s="210"/>
      <c r="D15" s="189">
        <v>15000</v>
      </c>
      <c r="E15" s="189"/>
      <c r="F15" s="109">
        <f t="shared" si="1"/>
        <v>240589</v>
      </c>
      <c r="G15" s="189">
        <f>'Ingr Propios 3'!F11*0.5</f>
        <v>240589</v>
      </c>
      <c r="H15" s="221"/>
      <c r="I15" s="200"/>
    </row>
    <row r="16" spans="1:9" ht="21.95" customHeight="1" x14ac:dyDescent="0.25">
      <c r="A16" s="431" t="s">
        <v>136</v>
      </c>
      <c r="B16" s="432"/>
      <c r="C16" s="432"/>
      <c r="D16" s="433"/>
      <c r="E16" s="433"/>
      <c r="F16" s="433">
        <f>SUM(F17:F20)</f>
        <v>10228</v>
      </c>
      <c r="G16" s="433">
        <f>SUM(G17:G20)</f>
        <v>10228</v>
      </c>
      <c r="H16" s="438">
        <f>SUM(H17:H20)</f>
        <v>0</v>
      </c>
      <c r="I16" s="434">
        <f>SUM(I17:I20)</f>
        <v>0</v>
      </c>
    </row>
    <row r="17" spans="1:10" ht="21.95" customHeight="1" x14ac:dyDescent="0.25">
      <c r="A17" s="164"/>
      <c r="B17" s="165"/>
      <c r="C17" s="165"/>
      <c r="D17" s="109"/>
      <c r="E17" s="109"/>
      <c r="F17" s="109"/>
      <c r="G17" s="109"/>
      <c r="H17" s="124">
        <v>0</v>
      </c>
      <c r="I17" s="125">
        <v>0</v>
      </c>
      <c r="J17" s="222"/>
    </row>
    <row r="18" spans="1:10" ht="31.5" customHeight="1" x14ac:dyDescent="0.25">
      <c r="A18" s="211" t="s">
        <v>351</v>
      </c>
      <c r="B18" s="188"/>
      <c r="C18" s="188"/>
      <c r="D18" s="189"/>
      <c r="E18" s="189"/>
      <c r="F18" s="189">
        <f>SUM(G18:I18)</f>
        <v>4092</v>
      </c>
      <c r="G18" s="189">
        <v>4092</v>
      </c>
      <c r="H18" s="220"/>
      <c r="I18" s="194"/>
    </row>
    <row r="19" spans="1:10" ht="23.25" customHeight="1" x14ac:dyDescent="0.25">
      <c r="A19" s="223" t="s">
        <v>152</v>
      </c>
      <c r="B19" s="165"/>
      <c r="C19" s="165"/>
      <c r="D19" s="109"/>
      <c r="E19" s="109"/>
      <c r="F19" s="109">
        <f>SUM(G19:I19)</f>
        <v>1136</v>
      </c>
      <c r="G19" s="109">
        <v>1136</v>
      </c>
      <c r="H19" s="124"/>
      <c r="I19" s="125"/>
    </row>
    <row r="20" spans="1:10" ht="21.95" customHeight="1" thickBot="1" x14ac:dyDescent="0.3">
      <c r="A20" s="131" t="s">
        <v>153</v>
      </c>
      <c r="B20" s="224"/>
      <c r="C20" s="224"/>
      <c r="D20" s="132"/>
      <c r="E20" s="132"/>
      <c r="F20" s="132">
        <f>SUM(G20:I20)</f>
        <v>5000</v>
      </c>
      <c r="G20" s="132">
        <v>5000</v>
      </c>
      <c r="H20" s="134"/>
      <c r="I20" s="135"/>
    </row>
    <row r="21" spans="1:10" ht="21.95" customHeight="1" thickBot="1" x14ac:dyDescent="0.3">
      <c r="A21" s="428" t="s">
        <v>100</v>
      </c>
      <c r="B21" s="429" t="e">
        <f>B6+B11+B13</f>
        <v>#REF!</v>
      </c>
      <c r="C21" s="429" t="e">
        <f>C6+C11+C13</f>
        <v>#REF!</v>
      </c>
      <c r="D21" s="429" t="e">
        <f>D6+D11+D13</f>
        <v>#REF!</v>
      </c>
      <c r="E21" s="430" t="e">
        <f>E6+E11+E13</f>
        <v>#REF!</v>
      </c>
      <c r="F21" s="437">
        <f>F6+F11+F13+F16</f>
        <v>270399</v>
      </c>
      <c r="G21" s="437">
        <f>G6+G11+G13+G16</f>
        <v>270399</v>
      </c>
      <c r="H21" s="437">
        <f>H6+H11+H13+H16</f>
        <v>0</v>
      </c>
      <c r="I21" s="437">
        <f>I6+I11+I13+I16</f>
        <v>0</v>
      </c>
    </row>
    <row r="22" spans="1:10" ht="21.95" customHeight="1" x14ac:dyDescent="0.25"/>
    <row r="23" spans="1:10" ht="21.95" customHeight="1" x14ac:dyDescent="0.25">
      <c r="A23" s="156"/>
      <c r="B23" s="156"/>
      <c r="C23" s="156"/>
    </row>
    <row r="24" spans="1:10" ht="21.95" customHeight="1" x14ac:dyDescent="0.25"/>
  </sheetData>
  <mergeCells count="6">
    <mergeCell ref="A2:I2"/>
    <mergeCell ref="A1:I1"/>
    <mergeCell ref="A3:A4"/>
    <mergeCell ref="B3:C3"/>
    <mergeCell ref="D3:E3"/>
    <mergeCell ref="F3:I3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11.5703125" hidden="1" customWidth="1"/>
    <col min="6" max="6" width="13.42578125" bestFit="1" customWidth="1"/>
  </cols>
  <sheetData>
    <row r="1" spans="1:9" ht="21.75" customHeight="1" x14ac:dyDescent="0.25">
      <c r="A1" s="918" t="s">
        <v>280</v>
      </c>
      <c r="B1" s="919"/>
      <c r="C1" s="919"/>
      <c r="D1" s="919"/>
      <c r="E1" s="919"/>
      <c r="F1" s="919"/>
      <c r="G1" s="919"/>
      <c r="H1" s="919"/>
      <c r="I1" s="920"/>
    </row>
    <row r="2" spans="1:9" ht="21.7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231"/>
      <c r="B5" s="232"/>
      <c r="C5" s="232"/>
      <c r="D5" s="173"/>
      <c r="E5" s="173"/>
      <c r="F5" s="173"/>
      <c r="G5" s="173"/>
      <c r="H5" s="173"/>
      <c r="I5" s="174"/>
    </row>
    <row r="6" spans="1:9" ht="21.95" customHeight="1" x14ac:dyDescent="0.25">
      <c r="A6" s="443" t="s">
        <v>15</v>
      </c>
      <c r="B6" s="441">
        <f t="shared" ref="B6:I6" si="0">SUM(B7:B9)</f>
        <v>41069</v>
      </c>
      <c r="C6" s="441">
        <f t="shared" si="0"/>
        <v>47065</v>
      </c>
      <c r="D6" s="441">
        <f t="shared" si="0"/>
        <v>47522</v>
      </c>
      <c r="E6" s="441">
        <f t="shared" si="0"/>
        <v>55813</v>
      </c>
      <c r="F6" s="441">
        <f t="shared" si="0"/>
        <v>41069</v>
      </c>
      <c r="G6" s="441">
        <f t="shared" si="0"/>
        <v>41069</v>
      </c>
      <c r="H6" s="441">
        <f t="shared" si="0"/>
        <v>0</v>
      </c>
      <c r="I6" s="442">
        <f t="shared" si="0"/>
        <v>0</v>
      </c>
    </row>
    <row r="7" spans="1:9" ht="21.95" customHeight="1" x14ac:dyDescent="0.25">
      <c r="A7" s="160" t="s">
        <v>138</v>
      </c>
      <c r="B7" s="161">
        <v>37481</v>
      </c>
      <c r="C7" s="161">
        <v>42419</v>
      </c>
      <c r="D7" s="157">
        <v>42800</v>
      </c>
      <c r="E7" s="162">
        <v>51310</v>
      </c>
      <c r="F7" s="162">
        <f t="shared" ref="F7:F13" si="1">SUM(G7:I7)</f>
        <v>37481</v>
      </c>
      <c r="G7" s="162">
        <v>37481</v>
      </c>
      <c r="H7" s="162">
        <v>0</v>
      </c>
      <c r="I7" s="163">
        <v>0</v>
      </c>
    </row>
    <row r="8" spans="1:9" ht="21.95" customHeight="1" x14ac:dyDescent="0.25">
      <c r="A8" s="164" t="s">
        <v>139</v>
      </c>
      <c r="B8" s="165">
        <v>1465</v>
      </c>
      <c r="C8" s="165">
        <v>1321</v>
      </c>
      <c r="D8" s="109">
        <v>1843</v>
      </c>
      <c r="E8" s="166">
        <v>1802</v>
      </c>
      <c r="F8" s="166">
        <f t="shared" si="1"/>
        <v>1465</v>
      </c>
      <c r="G8" s="166">
        <v>1465</v>
      </c>
      <c r="H8" s="166">
        <v>0</v>
      </c>
      <c r="I8" s="168">
        <v>0</v>
      </c>
    </row>
    <row r="9" spans="1:9" ht="21.95" customHeight="1" x14ac:dyDescent="0.25">
      <c r="A9" s="164" t="s">
        <v>140</v>
      </c>
      <c r="B9" s="165">
        <v>2123</v>
      </c>
      <c r="C9" s="165">
        <v>3325</v>
      </c>
      <c r="D9" s="109">
        <v>2879</v>
      </c>
      <c r="E9" s="166">
        <v>2701</v>
      </c>
      <c r="F9" s="166">
        <f t="shared" si="1"/>
        <v>2123</v>
      </c>
      <c r="G9" s="166">
        <v>2123</v>
      </c>
      <c r="H9" s="166">
        <v>0</v>
      </c>
      <c r="I9" s="168">
        <v>0</v>
      </c>
    </row>
    <row r="10" spans="1:9" ht="21.95" customHeight="1" x14ac:dyDescent="0.25">
      <c r="A10" s="169"/>
      <c r="B10" s="170"/>
      <c r="C10" s="170"/>
      <c r="D10" s="146"/>
      <c r="E10" s="146"/>
      <c r="F10" s="146">
        <f t="shared" si="1"/>
        <v>0</v>
      </c>
      <c r="G10" s="146"/>
      <c r="H10" s="146"/>
      <c r="I10" s="148"/>
    </row>
    <row r="11" spans="1:9" ht="21.95" customHeight="1" x14ac:dyDescent="0.25">
      <c r="A11" s="443" t="s">
        <v>141</v>
      </c>
      <c r="B11" s="444"/>
      <c r="C11" s="444"/>
      <c r="D11" s="441"/>
      <c r="E11" s="441"/>
      <c r="F11" s="441">
        <f t="shared" si="1"/>
        <v>0</v>
      </c>
      <c r="G11" s="441">
        <f>SUM(G12)</f>
        <v>0</v>
      </c>
      <c r="H11" s="441">
        <f t="shared" ref="H11:I11" si="2">SUM(H12)</f>
        <v>0</v>
      </c>
      <c r="I11" s="442">
        <f t="shared" si="2"/>
        <v>0</v>
      </c>
    </row>
    <row r="12" spans="1:9" ht="21.95" customHeight="1" x14ac:dyDescent="0.25">
      <c r="A12" s="171"/>
      <c r="B12" s="172"/>
      <c r="C12" s="172"/>
      <c r="D12" s="173"/>
      <c r="E12" s="173"/>
      <c r="F12" s="173">
        <f t="shared" si="1"/>
        <v>0</v>
      </c>
      <c r="G12" s="173"/>
      <c r="H12" s="173"/>
      <c r="I12" s="174"/>
    </row>
    <row r="13" spans="1:9" ht="21.95" customHeight="1" x14ac:dyDescent="0.25">
      <c r="A13" s="443" t="s">
        <v>142</v>
      </c>
      <c r="B13" s="441" t="e">
        <f>#REF!+#REF!+#REF!+#REF!</f>
        <v>#REF!</v>
      </c>
      <c r="C13" s="441" t="e">
        <f>#REF!+#REF!+#REF!+#REF!</f>
        <v>#REF!</v>
      </c>
      <c r="D13" s="441" t="e">
        <f>#REF!+#REF!+#REF!+#REF!</f>
        <v>#REF!</v>
      </c>
      <c r="E13" s="441" t="e">
        <f>#REF!+#REF!+#REF!+#REF!+#REF!+#REF!</f>
        <v>#REF!</v>
      </c>
      <c r="F13" s="441">
        <f t="shared" si="1"/>
        <v>42759</v>
      </c>
      <c r="G13" s="441">
        <f>SUM(G14:G16)</f>
        <v>0</v>
      </c>
      <c r="H13" s="441">
        <f t="shared" ref="H13:I13" si="3">SUM(H14:H16)</f>
        <v>42759</v>
      </c>
      <c r="I13" s="442">
        <f t="shared" si="3"/>
        <v>0</v>
      </c>
    </row>
    <row r="14" spans="1:9" ht="21.95" customHeight="1" x14ac:dyDescent="0.25">
      <c r="A14" s="234" t="s">
        <v>155</v>
      </c>
      <c r="B14" s="235"/>
      <c r="C14" s="235"/>
      <c r="D14" s="235"/>
      <c r="E14" s="235"/>
      <c r="F14" s="235"/>
      <c r="G14" s="235"/>
      <c r="H14" s="157">
        <f>'Ingresos Totales 2'!H28-14199</f>
        <v>42759</v>
      </c>
      <c r="I14" s="236"/>
    </row>
    <row r="15" spans="1:9" ht="21.95" customHeight="1" x14ac:dyDescent="0.25">
      <c r="A15" s="227"/>
      <c r="B15" s="228"/>
      <c r="C15" s="228"/>
      <c r="D15" s="108"/>
      <c r="E15" s="108"/>
      <c r="F15" s="108"/>
      <c r="G15" s="108"/>
      <c r="H15" s="108"/>
      <c r="I15" s="229"/>
    </row>
    <row r="16" spans="1:9" ht="21.95" customHeight="1" x14ac:dyDescent="0.25">
      <c r="A16" s="239"/>
      <c r="B16" s="240"/>
      <c r="C16" s="240"/>
      <c r="D16" s="241"/>
      <c r="E16" s="241"/>
      <c r="F16" s="241"/>
      <c r="G16" s="241"/>
      <c r="H16" s="241"/>
      <c r="I16" s="242"/>
    </row>
    <row r="17" spans="1:9" ht="21.95" customHeight="1" x14ac:dyDescent="0.25">
      <c r="A17" s="439" t="s">
        <v>136</v>
      </c>
      <c r="B17" s="440"/>
      <c r="C17" s="440"/>
      <c r="D17" s="490"/>
      <c r="E17" s="490"/>
      <c r="F17" s="441">
        <f>SUM(G17:I17)</f>
        <v>3000</v>
      </c>
      <c r="G17" s="441">
        <f>SUM(G18)</f>
        <v>3000</v>
      </c>
      <c r="H17" s="441">
        <f>SUM(H18)</f>
        <v>0</v>
      </c>
      <c r="I17" s="442">
        <f>SUM(I18)</f>
        <v>0</v>
      </c>
    </row>
    <row r="18" spans="1:9" ht="21.95" customHeight="1" x14ac:dyDescent="0.25">
      <c r="A18" s="243" t="s">
        <v>287</v>
      </c>
      <c r="B18" s="244"/>
      <c r="C18" s="244"/>
      <c r="D18" s="237"/>
      <c r="E18" s="237"/>
      <c r="F18" s="237">
        <f>SUM(G18:I18)</f>
        <v>3000</v>
      </c>
      <c r="G18" s="237">
        <v>3000</v>
      </c>
      <c r="H18" s="237">
        <v>0</v>
      </c>
      <c r="I18" s="238">
        <v>0</v>
      </c>
    </row>
    <row r="19" spans="1:9" ht="21.95" customHeight="1" x14ac:dyDescent="0.25">
      <c r="A19" s="123"/>
      <c r="B19" s="202"/>
      <c r="C19" s="202"/>
      <c r="D19" s="109"/>
      <c r="E19" s="109"/>
      <c r="F19" s="109"/>
      <c r="G19" s="109"/>
      <c r="H19" s="109"/>
      <c r="I19" s="125"/>
    </row>
    <row r="20" spans="1:9" ht="21.95" customHeight="1" thickBot="1" x14ac:dyDescent="0.3">
      <c r="A20" s="131"/>
      <c r="B20" s="224"/>
      <c r="C20" s="224"/>
      <c r="D20" s="132"/>
      <c r="E20" s="132"/>
      <c r="F20" s="132"/>
      <c r="G20" s="132"/>
      <c r="H20" s="132"/>
      <c r="I20" s="135"/>
    </row>
    <row r="21" spans="1:9" ht="21.95" customHeight="1" thickBot="1" x14ac:dyDescent="0.3">
      <c r="A21" s="428" t="s">
        <v>100</v>
      </c>
      <c r="B21" s="429" t="e">
        <f>B6+B11+B13</f>
        <v>#REF!</v>
      </c>
      <c r="C21" s="429" t="e">
        <f>C6+C11+C13</f>
        <v>#REF!</v>
      </c>
      <c r="D21" s="429" t="e">
        <f>D6+D11+D13</f>
        <v>#REF!</v>
      </c>
      <c r="E21" s="430" t="e">
        <f>E6+E11+E13</f>
        <v>#REF!</v>
      </c>
      <c r="F21" s="429">
        <f>F6+F11+F13+F17</f>
        <v>86828</v>
      </c>
      <c r="G21" s="429">
        <f>G6+G11+G13+G17</f>
        <v>44069</v>
      </c>
      <c r="H21" s="429">
        <f>H6+H11+H13+H17</f>
        <v>42759</v>
      </c>
      <c r="I21" s="445">
        <f>I6+I11+I13+I17</f>
        <v>0</v>
      </c>
    </row>
    <row r="22" spans="1:9" ht="21.95" customHeight="1" x14ac:dyDescent="0.25"/>
    <row r="23" spans="1:9" ht="21.95" customHeight="1" x14ac:dyDescent="0.25">
      <c r="A23" s="156"/>
      <c r="B23" s="156"/>
      <c r="C23" s="156"/>
    </row>
  </sheetData>
  <mergeCells count="6">
    <mergeCell ref="A1:I1"/>
    <mergeCell ref="A2:I2"/>
    <mergeCell ref="A3:A4"/>
    <mergeCell ref="B3:C3"/>
    <mergeCell ref="D3:E3"/>
    <mergeCell ref="F3:I3"/>
  </mergeCells>
  <phoneticPr fontId="23" type="noConversion"/>
  <printOptions horizontalCentered="1"/>
  <pageMargins left="0.31496062992125984" right="0.31496062992125984" top="1.1023622047244095" bottom="0.55118110236220474" header="0.31496062992125984" footer="0.31496062992125984"/>
  <pageSetup fitToHeight="5" orientation="portrait" horizontalDpi="300" verticalDpi="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85546875" hidden="1" customWidth="1"/>
    <col min="6" max="6" width="13.42578125" bestFit="1" customWidth="1"/>
  </cols>
  <sheetData>
    <row r="1" spans="1:9" ht="21.75" customHeight="1" x14ac:dyDescent="0.25">
      <c r="A1" s="918" t="s">
        <v>268</v>
      </c>
      <c r="B1" s="919"/>
      <c r="C1" s="919"/>
      <c r="D1" s="919"/>
      <c r="E1" s="919"/>
      <c r="F1" s="919"/>
      <c r="G1" s="919"/>
      <c r="H1" s="919"/>
      <c r="I1" s="920"/>
    </row>
    <row r="2" spans="1:9" ht="21.7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921" t="s">
        <v>1</v>
      </c>
      <c r="B3" s="815">
        <v>2010</v>
      </c>
      <c r="C3" s="816"/>
      <c r="D3" s="815">
        <v>2011</v>
      </c>
      <c r="E3" s="816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19"/>
      <c r="C5" s="119"/>
      <c r="D5" s="120"/>
      <c r="E5" s="120"/>
      <c r="F5" s="120"/>
      <c r="G5" s="120"/>
      <c r="H5" s="121"/>
      <c r="I5" s="122"/>
    </row>
    <row r="6" spans="1:9" ht="21.95" customHeight="1" x14ac:dyDescent="0.25">
      <c r="A6" s="435" t="s">
        <v>15</v>
      </c>
      <c r="B6" s="433">
        <f t="shared" ref="B6:I6" si="0">SUM(B7:B9)</f>
        <v>24592</v>
      </c>
      <c r="C6" s="433">
        <f t="shared" si="0"/>
        <v>27095</v>
      </c>
      <c r="D6" s="433">
        <f t="shared" si="0"/>
        <v>28341</v>
      </c>
      <c r="E6" s="433">
        <f t="shared" si="0"/>
        <v>28866</v>
      </c>
      <c r="F6" s="433">
        <f t="shared" si="0"/>
        <v>24592</v>
      </c>
      <c r="G6" s="433">
        <f t="shared" si="0"/>
        <v>24592</v>
      </c>
      <c r="H6" s="438">
        <f t="shared" si="0"/>
        <v>0</v>
      </c>
      <c r="I6" s="434">
        <f t="shared" si="0"/>
        <v>0</v>
      </c>
    </row>
    <row r="7" spans="1:9" ht="21.95" customHeight="1" x14ac:dyDescent="0.25">
      <c r="A7" s="187" t="s">
        <v>138</v>
      </c>
      <c r="B7" s="188">
        <v>23271</v>
      </c>
      <c r="C7" s="188">
        <v>25915</v>
      </c>
      <c r="D7" s="189">
        <v>25733</v>
      </c>
      <c r="E7" s="190">
        <v>26667</v>
      </c>
      <c r="F7" s="188">
        <f t="shared" ref="F7:F12" si="1">SUM(G7:I7)</f>
        <v>23271</v>
      </c>
      <c r="G7" s="190">
        <v>23271</v>
      </c>
      <c r="H7" s="217">
        <v>0</v>
      </c>
      <c r="I7" s="218">
        <v>0</v>
      </c>
    </row>
    <row r="8" spans="1:9" ht="21.95" customHeight="1" x14ac:dyDescent="0.25">
      <c r="A8" s="164" t="s">
        <v>139</v>
      </c>
      <c r="B8" s="165">
        <v>290</v>
      </c>
      <c r="C8" s="165">
        <v>101</v>
      </c>
      <c r="D8" s="109">
        <v>885</v>
      </c>
      <c r="E8" s="166">
        <v>760</v>
      </c>
      <c r="F8" s="165">
        <f t="shared" si="1"/>
        <v>290</v>
      </c>
      <c r="G8" s="166">
        <v>290</v>
      </c>
      <c r="H8" s="219">
        <v>0</v>
      </c>
      <c r="I8" s="168">
        <v>0</v>
      </c>
    </row>
    <row r="9" spans="1:9" ht="21.95" customHeight="1" x14ac:dyDescent="0.25">
      <c r="A9" s="187" t="s">
        <v>140</v>
      </c>
      <c r="B9" s="188">
        <v>1031</v>
      </c>
      <c r="C9" s="188">
        <v>1079</v>
      </c>
      <c r="D9" s="189">
        <v>1723</v>
      </c>
      <c r="E9" s="190">
        <v>1439</v>
      </c>
      <c r="F9" s="188">
        <f t="shared" si="1"/>
        <v>1031</v>
      </c>
      <c r="G9" s="190">
        <v>1031</v>
      </c>
      <c r="H9" s="217">
        <v>0</v>
      </c>
      <c r="I9" s="218">
        <v>0</v>
      </c>
    </row>
    <row r="10" spans="1:9" ht="21.95" customHeight="1" x14ac:dyDescent="0.25">
      <c r="A10" s="192"/>
      <c r="B10" s="193"/>
      <c r="C10" s="193"/>
      <c r="D10" s="189"/>
      <c r="E10" s="189"/>
      <c r="F10" s="189">
        <f t="shared" si="1"/>
        <v>0</v>
      </c>
      <c r="G10" s="189"/>
      <c r="H10" s="220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 t="shared" si="1"/>
        <v>0</v>
      </c>
      <c r="G11" s="433">
        <f>SUM(G12)</f>
        <v>0</v>
      </c>
      <c r="H11" s="438">
        <f t="shared" ref="H11:I11" si="2">SUM(H12)</f>
        <v>0</v>
      </c>
      <c r="I11" s="434">
        <f t="shared" si="2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>
        <f t="shared" si="1"/>
        <v>0</v>
      </c>
      <c r="G12" s="189"/>
      <c r="H12" s="220"/>
      <c r="I12" s="194"/>
    </row>
    <row r="13" spans="1:9" ht="21.95" customHeight="1" x14ac:dyDescent="0.25">
      <c r="A13" s="435" t="s">
        <v>142</v>
      </c>
      <c r="B13" s="433" t="e">
        <f>#REF!+B15+#REF!</f>
        <v>#REF!</v>
      </c>
      <c r="C13" s="433" t="e">
        <f>#REF!+C15+#REF!</f>
        <v>#REF!</v>
      </c>
      <c r="D13" s="433" t="e">
        <f>#REF!+D15+#REF!</f>
        <v>#REF!</v>
      </c>
      <c r="E13" s="433" t="e">
        <f>#REF!+E15+#REF!</f>
        <v>#REF!</v>
      </c>
      <c r="F13" s="433">
        <f>SUM(F14:F15)</f>
        <v>55000</v>
      </c>
      <c r="G13" s="433">
        <f>SUM(G14:G15)</f>
        <v>55000</v>
      </c>
      <c r="H13" s="433">
        <f>SUM(H14:H15)</f>
        <v>0</v>
      </c>
      <c r="I13" s="434">
        <f>SUM(I14:I15)</f>
        <v>0</v>
      </c>
    </row>
    <row r="14" spans="1:9" ht="21.95" customHeight="1" x14ac:dyDescent="0.25">
      <c r="A14" s="164" t="s">
        <v>151</v>
      </c>
      <c r="B14" s="165">
        <v>90636</v>
      </c>
      <c r="C14" s="165">
        <v>92025</v>
      </c>
      <c r="D14" s="109">
        <v>90636</v>
      </c>
      <c r="E14" s="109">
        <v>140652</v>
      </c>
      <c r="F14" s="109">
        <f>SUM(G14:I14)</f>
        <v>55000</v>
      </c>
      <c r="G14" s="198">
        <v>55000</v>
      </c>
      <c r="H14" s="109"/>
      <c r="I14" s="125">
        <v>0</v>
      </c>
    </row>
    <row r="15" spans="1:9" ht="21.95" customHeight="1" x14ac:dyDescent="0.25">
      <c r="A15" s="527"/>
      <c r="B15" s="528" t="e">
        <f>SUM(#REF!)</f>
        <v>#REF!</v>
      </c>
      <c r="C15" s="528" t="e">
        <f>SUM(#REF!)</f>
        <v>#REF!</v>
      </c>
      <c r="D15" s="528" t="e">
        <f>SUM(#REF!)</f>
        <v>#REF!</v>
      </c>
      <c r="E15" s="528">
        <v>0</v>
      </c>
      <c r="F15" s="528">
        <f>SUM(G15:I15)</f>
        <v>0</v>
      </c>
      <c r="G15" s="528">
        <v>0</v>
      </c>
      <c r="H15" s="109"/>
      <c r="I15" s="529">
        <v>0</v>
      </c>
    </row>
    <row r="16" spans="1:9" ht="21.95" customHeight="1" x14ac:dyDescent="0.25">
      <c r="A16" s="431" t="s">
        <v>136</v>
      </c>
      <c r="B16" s="432"/>
      <c r="C16" s="432"/>
      <c r="D16" s="433"/>
      <c r="E16" s="433"/>
      <c r="F16" s="433">
        <f>SUM(G16:I16)</f>
        <v>0</v>
      </c>
      <c r="G16" s="433">
        <f>SUM(G17)</f>
        <v>0</v>
      </c>
      <c r="H16" s="433">
        <f t="shared" ref="H16:I16" si="3">SUM(H17)</f>
        <v>0</v>
      </c>
      <c r="I16" s="434">
        <f t="shared" si="3"/>
        <v>0</v>
      </c>
    </row>
    <row r="17" spans="1:9" ht="21.95" customHeight="1" thickBot="1" x14ac:dyDescent="0.3">
      <c r="A17" s="230"/>
      <c r="B17" s="214"/>
      <c r="C17" s="214"/>
      <c r="D17" s="132"/>
      <c r="E17" s="132"/>
      <c r="F17" s="132">
        <f>SUM(G17:I17)</f>
        <v>0</v>
      </c>
      <c r="G17" s="132"/>
      <c r="H17" s="132"/>
      <c r="I17" s="135"/>
    </row>
    <row r="18" spans="1:9" ht="21.95" customHeight="1" thickBot="1" x14ac:dyDescent="0.3">
      <c r="A18" s="428" t="s">
        <v>100</v>
      </c>
      <c r="B18" s="429" t="e">
        <f>B6+B11+B13</f>
        <v>#REF!</v>
      </c>
      <c r="C18" s="429" t="e">
        <f>C6+C11+C13</f>
        <v>#REF!</v>
      </c>
      <c r="D18" s="429" t="e">
        <f>D6+D11+D13</f>
        <v>#REF!</v>
      </c>
      <c r="E18" s="430" t="e">
        <f>E6+E11+E13</f>
        <v>#REF!</v>
      </c>
      <c r="F18" s="429">
        <f>F6+F11+F13+F16</f>
        <v>79592</v>
      </c>
      <c r="G18" s="429">
        <f>G6+G11+G13+G16</f>
        <v>79592</v>
      </c>
      <c r="H18" s="429">
        <f>H6+H11+H13+H16</f>
        <v>0</v>
      </c>
      <c r="I18" s="445">
        <f>I6+I11+I13+I16</f>
        <v>0</v>
      </c>
    </row>
    <row r="19" spans="1:9" ht="21.95" customHeight="1" x14ac:dyDescent="0.25">
      <c r="B19" s="5"/>
      <c r="C19" s="5"/>
    </row>
  </sheetData>
  <mergeCells count="6">
    <mergeCell ref="A1:I1"/>
    <mergeCell ref="A2:I2"/>
    <mergeCell ref="A3:A4"/>
    <mergeCell ref="B3:C3"/>
    <mergeCell ref="D3:E3"/>
    <mergeCell ref="F3:I3"/>
  </mergeCells>
  <phoneticPr fontId="23" type="noConversion"/>
  <printOptions horizontalCentered="1"/>
  <pageMargins left="0.9055118110236221" right="0.31496062992125984" top="1.1023622047244095" bottom="0.55118110236220474" header="0.31496062992125984" footer="0.31496062992125984"/>
  <pageSetup fitToHeight="5" orientation="portrait" horizontalDpi="3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ySplit="2" topLeftCell="A9" activePane="bottomLeft" state="frozen"/>
      <selection activeCell="F34" sqref="F34"/>
      <selection pane="bottomLeft" activeCell="F34" sqref="F34"/>
    </sheetView>
  </sheetViews>
  <sheetFormatPr baseColWidth="10" defaultRowHeight="15" customHeight="1" x14ac:dyDescent="0.25"/>
  <cols>
    <col min="1" max="1" width="45.140625" customWidth="1"/>
    <col min="2" max="3" width="13.140625" hidden="1" customWidth="1"/>
    <col min="4" max="4" width="15.28515625" hidden="1" customWidth="1"/>
    <col min="5" max="5" width="12.7109375" hidden="1" customWidth="1"/>
    <col min="6" max="6" width="12.7109375" bestFit="1" customWidth="1"/>
    <col min="7" max="9" width="11.5703125" bestFit="1" customWidth="1"/>
    <col min="11" max="11" width="12" bestFit="1" customWidth="1"/>
    <col min="12" max="12" width="11.5703125" bestFit="1" customWidth="1"/>
    <col min="14" max="14" width="11.5703125" bestFit="1" customWidth="1"/>
  </cols>
  <sheetData>
    <row r="1" spans="1:10" ht="21.95" customHeight="1" thickBot="1" x14ac:dyDescent="0.3">
      <c r="A1" s="809" t="s">
        <v>341</v>
      </c>
      <c r="B1" s="810"/>
      <c r="C1" s="810"/>
      <c r="D1" s="810"/>
      <c r="E1" s="810"/>
      <c r="F1" s="810"/>
      <c r="G1" s="810"/>
      <c r="H1" s="810"/>
      <c r="I1" s="811"/>
    </row>
    <row r="2" spans="1:10" ht="21.95" customHeight="1" thickBot="1" x14ac:dyDescent="0.3">
      <c r="A2" s="560"/>
      <c r="B2" s="2" t="s">
        <v>3</v>
      </c>
      <c r="C2" s="3" t="s">
        <v>4</v>
      </c>
      <c r="D2" s="2" t="s">
        <v>3</v>
      </c>
      <c r="E2" s="3" t="s">
        <v>4</v>
      </c>
      <c r="F2" s="410" t="s">
        <v>5</v>
      </c>
      <c r="G2" s="411" t="s">
        <v>6</v>
      </c>
      <c r="H2" s="411" t="s">
        <v>7</v>
      </c>
      <c r="I2" s="412" t="s">
        <v>8</v>
      </c>
    </row>
    <row r="3" spans="1:10" ht="15.95" customHeight="1" thickBot="1" x14ac:dyDescent="0.3">
      <c r="A3" s="640" t="s">
        <v>31</v>
      </c>
      <c r="B3" s="641" t="e">
        <f>SUM(B4,B11,B15,B18,B21:B24,B40,#REF!,B41,#REF!,#REF!,#REF!,#REF!)</f>
        <v>#REF!</v>
      </c>
      <c r="C3" s="641" t="e">
        <f>SUM(C4,C11,C15,C18,C21:C24,C40,#REF!,C41,#REF!,#REF!,#REF!,#REF!)</f>
        <v>#REF!</v>
      </c>
      <c r="D3" s="641" t="e">
        <f>SUM(D4,D11,D15,D18,D21:D24,D40,#REF!,D41,#REF!,#REF!,#REF!)</f>
        <v>#REF!</v>
      </c>
      <c r="E3" s="641" t="e">
        <f>SUM(E4,E11,E15,E18,E21:E24,E40,#REF!,E41,#REF!,#REF!,#REF!)</f>
        <v>#REF!</v>
      </c>
      <c r="F3" s="642">
        <f>F4+F11+F15+F18+F21+F22+F23+F24+F40+F41+F42</f>
        <v>19453754</v>
      </c>
      <c r="G3" s="642">
        <f>G4+G11+G15+G18+G21+G22+G23+G24+G40+G41+G42</f>
        <v>9426706</v>
      </c>
      <c r="H3" s="642">
        <f>H4+H11+H15+H18+H21+H22+H23+H24+H40+H41+H42</f>
        <v>8197994</v>
      </c>
      <c r="I3" s="643">
        <f>I4+I11+I15+I18+I21+I22+I23+I24+I40+I41+I42</f>
        <v>1829054</v>
      </c>
    </row>
    <row r="4" spans="1:10" ht="15.95" customHeight="1" thickTop="1" x14ac:dyDescent="0.25">
      <c r="A4" s="575" t="s">
        <v>32</v>
      </c>
      <c r="B4" s="576" t="e">
        <f>SUM(B5:B9)</f>
        <v>#REF!</v>
      </c>
      <c r="C4" s="576" t="e">
        <f>SUM(C5:C9)</f>
        <v>#REF!</v>
      </c>
      <c r="D4" s="576" t="e">
        <f>SUM(D5:D9)</f>
        <v>#REF!</v>
      </c>
      <c r="E4" s="576" t="e">
        <f>SUM(E5:E9)</f>
        <v>#REF!</v>
      </c>
      <c r="F4" s="577">
        <f t="shared" ref="F4:F41" si="0">SUM(G4:I4)</f>
        <v>1074299</v>
      </c>
      <c r="G4" s="577">
        <f>SUM(G5:G9)</f>
        <v>1074299</v>
      </c>
      <c r="H4" s="577">
        <f>SUM(H5:H9)</f>
        <v>0</v>
      </c>
      <c r="I4" s="578">
        <f>SUM(I5:I9)</f>
        <v>0</v>
      </c>
    </row>
    <row r="5" spans="1:10" ht="15.95" customHeight="1" x14ac:dyDescent="0.25">
      <c r="A5" s="15" t="s">
        <v>33</v>
      </c>
      <c r="B5" s="413">
        <f>'Ingr Propios 3'!B4</f>
        <v>309087</v>
      </c>
      <c r="C5" s="413">
        <f>'Ingr Propios 3'!C4</f>
        <v>366318</v>
      </c>
      <c r="D5" s="413">
        <f>'Ingr Propios 3'!D4</f>
        <v>360712</v>
      </c>
      <c r="E5" s="413">
        <f>'Ingr Propios 3'!E4</f>
        <v>371708</v>
      </c>
      <c r="F5" s="414">
        <f t="shared" si="0"/>
        <v>619252</v>
      </c>
      <c r="G5" s="414">
        <f>'Ingr Propios 3'!F4</f>
        <v>619252</v>
      </c>
      <c r="H5" s="414">
        <v>0</v>
      </c>
      <c r="I5" s="415">
        <v>0</v>
      </c>
    </row>
    <row r="6" spans="1:10" ht="15.95" customHeight="1" x14ac:dyDescent="0.25">
      <c r="A6" s="416" t="s">
        <v>34</v>
      </c>
      <c r="B6" s="413">
        <f>'Ingr Propios 3'!B14</f>
        <v>357649</v>
      </c>
      <c r="C6" s="413">
        <f>'Ingr Propios 3'!C14</f>
        <v>339187</v>
      </c>
      <c r="D6" s="413">
        <f>'Ingr Propios 3'!D14</f>
        <v>385953</v>
      </c>
      <c r="E6" s="413">
        <f>'Ingr Propios 3'!E14</f>
        <v>328911</v>
      </c>
      <c r="F6" s="414">
        <f t="shared" si="0"/>
        <v>415970</v>
      </c>
      <c r="G6" s="414">
        <f>'Ingr Propios 3'!F14</f>
        <v>415970</v>
      </c>
      <c r="H6" s="414">
        <v>0</v>
      </c>
      <c r="I6" s="415">
        <v>0</v>
      </c>
    </row>
    <row r="7" spans="1:10" ht="15.95" customHeight="1" x14ac:dyDescent="0.25">
      <c r="A7" s="416" t="s">
        <v>35</v>
      </c>
      <c r="B7" s="413">
        <f>'Ingr Propios 3'!B30</f>
        <v>55021</v>
      </c>
      <c r="C7" s="413">
        <f>'Ingr Propios 3'!C30</f>
        <v>40641</v>
      </c>
      <c r="D7" s="413">
        <f>'Ingr Propios 3'!D30</f>
        <v>54509</v>
      </c>
      <c r="E7" s="413">
        <f>'Ingr Propios 3'!E30</f>
        <v>28223</v>
      </c>
      <c r="F7" s="414">
        <f t="shared" si="0"/>
        <v>20933</v>
      </c>
      <c r="G7" s="414">
        <f>'Ingr Propios 3'!F30</f>
        <v>20933</v>
      </c>
      <c r="H7" s="414">
        <v>0</v>
      </c>
      <c r="I7" s="415">
        <v>0</v>
      </c>
    </row>
    <row r="8" spans="1:10" ht="15.95" customHeight="1" x14ac:dyDescent="0.25">
      <c r="A8" s="416" t="s">
        <v>36</v>
      </c>
      <c r="B8" s="413">
        <f>'Ingr Propios 3'!B36</f>
        <v>47391</v>
      </c>
      <c r="C8" s="413">
        <f>'Ingr Propios 3'!C36</f>
        <v>30151</v>
      </c>
      <c r="D8" s="413">
        <f>'Ingr Propios 3'!D36</f>
        <v>64250</v>
      </c>
      <c r="E8" s="413">
        <f>'Ingr Propios 3'!E36</f>
        <v>25842</v>
      </c>
      <c r="F8" s="414">
        <f t="shared" si="0"/>
        <v>18144</v>
      </c>
      <c r="G8" s="414">
        <f>'Ingr Propios 3'!F36</f>
        <v>18144</v>
      </c>
      <c r="H8" s="414">
        <v>0</v>
      </c>
      <c r="I8" s="415">
        <v>0</v>
      </c>
    </row>
    <row r="9" spans="1:10" ht="15.95" customHeight="1" x14ac:dyDescent="0.25">
      <c r="A9" s="416" t="s">
        <v>37</v>
      </c>
      <c r="B9" s="413" t="e">
        <f>SUM('Ingr Propios 3'!#REF!)</f>
        <v>#REF!</v>
      </c>
      <c r="C9" s="413" t="e">
        <f>SUM('Ingr Propios 3'!#REF!)</f>
        <v>#REF!</v>
      </c>
      <c r="D9" s="413" t="e">
        <f>SUM('Ingr Propios 3'!#REF!)</f>
        <v>#REF!</v>
      </c>
      <c r="E9" s="413" t="e">
        <f>SUM('Ingr Propios 3'!#REF!)</f>
        <v>#REF!</v>
      </c>
      <c r="F9" s="414">
        <f t="shared" si="0"/>
        <v>0</v>
      </c>
      <c r="G9" s="414">
        <v>0</v>
      </c>
      <c r="H9" s="414">
        <v>0</v>
      </c>
      <c r="I9" s="415">
        <v>0</v>
      </c>
    </row>
    <row r="10" spans="1:10" ht="15.95" customHeight="1" x14ac:dyDescent="0.25">
      <c r="A10" s="579" t="s">
        <v>339</v>
      </c>
      <c r="B10" s="584"/>
      <c r="C10" s="584"/>
      <c r="D10" s="584"/>
      <c r="E10" s="584"/>
      <c r="F10" s="590">
        <f>F11+F15+F18+F21+F22</f>
        <v>7892372</v>
      </c>
      <c r="G10" s="590">
        <f>G11+G15+G18+G21+G22</f>
        <v>7892372</v>
      </c>
      <c r="H10" s="585"/>
      <c r="I10" s="586"/>
    </row>
    <row r="11" spans="1:10" ht="15.95" customHeight="1" x14ac:dyDescent="0.25">
      <c r="A11" s="572" t="s">
        <v>38</v>
      </c>
      <c r="B11" s="420">
        <f>B12+B13+B14</f>
        <v>4805996</v>
      </c>
      <c r="C11" s="420">
        <f>C12+C13+C14</f>
        <v>5391801</v>
      </c>
      <c r="D11" s="420">
        <f>D12+D13+D14</f>
        <v>5228478</v>
      </c>
      <c r="E11" s="420">
        <f>E12+E13+E14</f>
        <v>6260611</v>
      </c>
      <c r="F11" s="421">
        <f t="shared" si="0"/>
        <v>7079480</v>
      </c>
      <c r="G11" s="421">
        <f>SUM(G12:G14)</f>
        <v>7079480</v>
      </c>
      <c r="H11" s="421">
        <f>SUM(H12:H14)</f>
        <v>0</v>
      </c>
      <c r="I11" s="422">
        <f>SUM(I12:I14)</f>
        <v>0</v>
      </c>
    </row>
    <row r="12" spans="1:10" ht="15.95" customHeight="1" x14ac:dyDescent="0.25">
      <c r="A12" s="15" t="s">
        <v>39</v>
      </c>
      <c r="B12" s="13">
        <v>4361354</v>
      </c>
      <c r="C12" s="13">
        <v>4899259</v>
      </c>
      <c r="D12" s="413">
        <v>4765439</v>
      </c>
      <c r="E12" s="417">
        <v>5730128</v>
      </c>
      <c r="F12" s="418">
        <f t="shared" si="0"/>
        <v>6467447</v>
      </c>
      <c r="G12" s="418">
        <v>6467447</v>
      </c>
      <c r="H12" s="418">
        <v>0</v>
      </c>
      <c r="I12" s="419">
        <v>0</v>
      </c>
      <c r="J12" s="5"/>
    </row>
    <row r="13" spans="1:10" ht="15.95" customHeight="1" x14ac:dyDescent="0.25">
      <c r="A13" s="15" t="s">
        <v>40</v>
      </c>
      <c r="B13" s="13">
        <v>356295</v>
      </c>
      <c r="C13" s="13">
        <v>390250</v>
      </c>
      <c r="D13" s="413">
        <v>368454</v>
      </c>
      <c r="E13" s="417">
        <v>422202</v>
      </c>
      <c r="F13" s="418">
        <f t="shared" si="0"/>
        <v>474395</v>
      </c>
      <c r="G13" s="418">
        <v>474395</v>
      </c>
      <c r="H13" s="418">
        <v>0</v>
      </c>
      <c r="I13" s="419">
        <v>0</v>
      </c>
    </row>
    <row r="14" spans="1:10" ht="15.95" customHeight="1" x14ac:dyDescent="0.25">
      <c r="A14" s="15" t="s">
        <v>41</v>
      </c>
      <c r="B14" s="13">
        <v>88347</v>
      </c>
      <c r="C14" s="13">
        <v>102292</v>
      </c>
      <c r="D14" s="413">
        <v>94585</v>
      </c>
      <c r="E14" s="417">
        <v>108281</v>
      </c>
      <c r="F14" s="418">
        <f t="shared" si="0"/>
        <v>137638</v>
      </c>
      <c r="G14" s="418">
        <v>137638</v>
      </c>
      <c r="H14" s="418">
        <v>0</v>
      </c>
      <c r="I14" s="419">
        <v>0</v>
      </c>
    </row>
    <row r="15" spans="1:10" ht="15.95" customHeight="1" x14ac:dyDescent="0.25">
      <c r="A15" s="572" t="s">
        <v>42</v>
      </c>
      <c r="B15" s="420">
        <f>B16+B17</f>
        <v>290790</v>
      </c>
      <c r="C15" s="420">
        <f>C16+C17</f>
        <v>279195</v>
      </c>
      <c r="D15" s="420">
        <f>D16+D17</f>
        <v>290720</v>
      </c>
      <c r="E15" s="420">
        <f>E16+E17</f>
        <v>289549</v>
      </c>
      <c r="F15" s="421">
        <f t="shared" si="0"/>
        <v>110804</v>
      </c>
      <c r="G15" s="421">
        <f>SUM(G16:G17)</f>
        <v>110804</v>
      </c>
      <c r="H15" s="421">
        <f>SUM(H16:H17)</f>
        <v>0</v>
      </c>
      <c r="I15" s="422">
        <f>SUM(I16:I17)</f>
        <v>0</v>
      </c>
    </row>
    <row r="16" spans="1:10" ht="15.95" customHeight="1" x14ac:dyDescent="0.25">
      <c r="A16" s="15" t="s">
        <v>43</v>
      </c>
      <c r="B16" s="13">
        <v>247340</v>
      </c>
      <c r="C16" s="13">
        <v>202737</v>
      </c>
      <c r="D16" s="413">
        <v>235500</v>
      </c>
      <c r="E16" s="417">
        <v>204152</v>
      </c>
      <c r="F16" s="418">
        <f t="shared" si="0"/>
        <v>7748</v>
      </c>
      <c r="G16" s="418">
        <v>7748</v>
      </c>
      <c r="H16" s="418">
        <v>0</v>
      </c>
      <c r="I16" s="419">
        <v>0</v>
      </c>
    </row>
    <row r="17" spans="1:14" ht="15.95" customHeight="1" x14ac:dyDescent="0.25">
      <c r="A17" s="15" t="s">
        <v>44</v>
      </c>
      <c r="B17" s="13">
        <v>43450</v>
      </c>
      <c r="C17" s="13">
        <v>76458</v>
      </c>
      <c r="D17" s="413">
        <v>55220</v>
      </c>
      <c r="E17" s="417">
        <v>85397</v>
      </c>
      <c r="F17" s="418">
        <f t="shared" si="0"/>
        <v>103056</v>
      </c>
      <c r="G17" s="418">
        <v>103056</v>
      </c>
      <c r="H17" s="418">
        <v>0</v>
      </c>
      <c r="I17" s="419">
        <v>0</v>
      </c>
      <c r="K17" s="5"/>
    </row>
    <row r="18" spans="1:14" ht="15.95" customHeight="1" x14ac:dyDescent="0.25">
      <c r="A18" s="574" t="s">
        <v>45</v>
      </c>
      <c r="B18" s="420">
        <f>B19+B20</f>
        <v>74538</v>
      </c>
      <c r="C18" s="420">
        <f>C19+C20</f>
        <v>101819</v>
      </c>
      <c r="D18" s="420">
        <f>D19+D20</f>
        <v>89942</v>
      </c>
      <c r="E18" s="420">
        <f>E19+E20</f>
        <v>93420</v>
      </c>
      <c r="F18" s="421">
        <f t="shared" si="0"/>
        <v>99837</v>
      </c>
      <c r="G18" s="421">
        <f>SUM(G19:G20)</f>
        <v>99837</v>
      </c>
      <c r="H18" s="421">
        <f>SUM(H19:H20)</f>
        <v>0</v>
      </c>
      <c r="I18" s="422">
        <f>SUM(I19:I20)</f>
        <v>0</v>
      </c>
    </row>
    <row r="19" spans="1:14" ht="15.95" customHeight="1" x14ac:dyDescent="0.25">
      <c r="A19" s="15" t="s">
        <v>45</v>
      </c>
      <c r="B19" s="13">
        <v>72762</v>
      </c>
      <c r="C19" s="13">
        <v>101624</v>
      </c>
      <c r="D19" s="417">
        <v>87342</v>
      </c>
      <c r="E19" s="417">
        <v>93179</v>
      </c>
      <c r="F19" s="418">
        <f t="shared" si="0"/>
        <v>96382</v>
      </c>
      <c r="G19" s="418">
        <v>96382</v>
      </c>
      <c r="H19" s="418">
        <v>0</v>
      </c>
      <c r="I19" s="419">
        <v>0</v>
      </c>
    </row>
    <row r="20" spans="1:14" ht="15.95" customHeight="1" x14ac:dyDescent="0.25">
      <c r="A20" s="15" t="s">
        <v>46</v>
      </c>
      <c r="B20" s="13">
        <v>1776</v>
      </c>
      <c r="C20" s="13">
        <v>195</v>
      </c>
      <c r="D20" s="417">
        <v>2600</v>
      </c>
      <c r="E20" s="417">
        <v>241</v>
      </c>
      <c r="F20" s="418">
        <f t="shared" si="0"/>
        <v>3455</v>
      </c>
      <c r="G20" s="418">
        <v>3455</v>
      </c>
      <c r="H20" s="418">
        <v>0</v>
      </c>
      <c r="I20" s="419">
        <v>0</v>
      </c>
    </row>
    <row r="21" spans="1:14" ht="15.95" customHeight="1" x14ac:dyDescent="0.25">
      <c r="A21" s="572" t="s">
        <v>47</v>
      </c>
      <c r="B21" s="573">
        <v>184485</v>
      </c>
      <c r="C21" s="573">
        <v>259141</v>
      </c>
      <c r="D21" s="25">
        <v>282600</v>
      </c>
      <c r="E21" s="25">
        <v>266783</v>
      </c>
      <c r="F21" s="26">
        <f t="shared" si="0"/>
        <v>264530</v>
      </c>
      <c r="G21" s="26">
        <v>264530</v>
      </c>
      <c r="H21" s="26">
        <v>0</v>
      </c>
      <c r="I21" s="27">
        <v>0</v>
      </c>
    </row>
    <row r="22" spans="1:14" ht="15.95" customHeight="1" x14ac:dyDescent="0.25">
      <c r="A22" s="572" t="s">
        <v>48</v>
      </c>
      <c r="B22" s="573">
        <v>204847</v>
      </c>
      <c r="C22" s="573">
        <v>272478</v>
      </c>
      <c r="D22" s="25">
        <v>265206</v>
      </c>
      <c r="E22" s="25">
        <v>302218</v>
      </c>
      <c r="F22" s="26">
        <f t="shared" si="0"/>
        <v>337721</v>
      </c>
      <c r="G22" s="26">
        <v>337721</v>
      </c>
      <c r="H22" s="26">
        <v>0</v>
      </c>
      <c r="I22" s="27">
        <v>0</v>
      </c>
    </row>
    <row r="23" spans="1:14" ht="15.95" customHeight="1" x14ac:dyDescent="0.25">
      <c r="A23" s="587" t="s">
        <v>49</v>
      </c>
      <c r="B23" s="588">
        <v>76000</v>
      </c>
      <c r="C23" s="588">
        <v>159378</v>
      </c>
      <c r="D23" s="581">
        <v>85000</v>
      </c>
      <c r="E23" s="581">
        <v>149582</v>
      </c>
      <c r="F23" s="582">
        <f t="shared" si="0"/>
        <v>120000</v>
      </c>
      <c r="G23" s="582">
        <v>0</v>
      </c>
      <c r="H23" s="582">
        <v>0</v>
      </c>
      <c r="I23" s="583">
        <v>120000</v>
      </c>
    </row>
    <row r="24" spans="1:14" ht="15.95" customHeight="1" x14ac:dyDescent="0.25">
      <c r="A24" s="587" t="s">
        <v>7</v>
      </c>
      <c r="B24" s="589">
        <f>B25+B26+B27++B30+B31+B35+B38+B39</f>
        <v>7079192</v>
      </c>
      <c r="C24" s="589">
        <f>C25+C26+C27++C30+C31+C35+C38+C39</f>
        <v>7483362</v>
      </c>
      <c r="D24" s="589">
        <f>D25+D26+D27++D30+D31+D35+D38+D39</f>
        <v>7442586</v>
      </c>
      <c r="E24" s="589">
        <f>E25+E26+E27++E30+E31+E35+E38+E39</f>
        <v>8024435</v>
      </c>
      <c r="F24" s="590">
        <f t="shared" si="0"/>
        <v>8197994</v>
      </c>
      <c r="G24" s="590">
        <v>0</v>
      </c>
      <c r="H24" s="590">
        <f>H25+H26+H27+H30+H31+H35+H38+H39</f>
        <v>8197994</v>
      </c>
      <c r="I24" s="591">
        <f>I25+I26+I27+I30+I31+I35+I38+I39</f>
        <v>0</v>
      </c>
    </row>
    <row r="25" spans="1:14" ht="15.95" customHeight="1" x14ac:dyDescent="0.25">
      <c r="A25" s="416" t="s">
        <v>50</v>
      </c>
      <c r="B25" s="417">
        <v>4333700</v>
      </c>
      <c r="C25" s="417">
        <v>4649230</v>
      </c>
      <c r="D25" s="417">
        <v>4507021</v>
      </c>
      <c r="E25" s="417">
        <v>4800848</v>
      </c>
      <c r="F25" s="418">
        <f t="shared" si="0"/>
        <v>4845513</v>
      </c>
      <c r="G25" s="418">
        <v>0</v>
      </c>
      <c r="H25" s="418">
        <v>4845513</v>
      </c>
      <c r="I25" s="419">
        <v>0</v>
      </c>
    </row>
    <row r="26" spans="1:14" ht="15.95" customHeight="1" x14ac:dyDescent="0.25">
      <c r="A26" s="416" t="s">
        <v>51</v>
      </c>
      <c r="B26" s="417">
        <v>908400</v>
      </c>
      <c r="C26" s="417">
        <v>906498</v>
      </c>
      <c r="D26" s="417">
        <v>956262</v>
      </c>
      <c r="E26" s="417">
        <v>1057687</v>
      </c>
      <c r="F26" s="418">
        <f t="shared" si="0"/>
        <v>1226493</v>
      </c>
      <c r="G26" s="418">
        <v>0</v>
      </c>
      <c r="H26" s="418">
        <v>1226493</v>
      </c>
      <c r="I26" s="419">
        <v>0</v>
      </c>
      <c r="L26" s="561"/>
    </row>
    <row r="27" spans="1:14" ht="15.95" customHeight="1" x14ac:dyDescent="0.25">
      <c r="A27" s="23" t="s">
        <v>52</v>
      </c>
      <c r="B27" s="420">
        <f>B28+B29</f>
        <v>488900</v>
      </c>
      <c r="C27" s="420">
        <f>C28+C29</f>
        <v>488929</v>
      </c>
      <c r="D27" s="420">
        <f>D28+D29</f>
        <v>541967</v>
      </c>
      <c r="E27" s="420">
        <f>E28+E29</f>
        <v>546625</v>
      </c>
      <c r="F27" s="421">
        <f t="shared" si="0"/>
        <v>469948</v>
      </c>
      <c r="G27" s="421">
        <v>0</v>
      </c>
      <c r="H27" s="421">
        <f>SUM(H28:H29)</f>
        <v>469948</v>
      </c>
      <c r="I27" s="422">
        <v>0</v>
      </c>
      <c r="L27" s="547"/>
    </row>
    <row r="28" spans="1:14" ht="15.95" customHeight="1" x14ac:dyDescent="0.25">
      <c r="A28" s="644" t="s">
        <v>53</v>
      </c>
      <c r="B28" s="645">
        <v>58600</v>
      </c>
      <c r="C28" s="645">
        <v>59258</v>
      </c>
      <c r="D28" s="417">
        <v>65686</v>
      </c>
      <c r="E28" s="417">
        <v>67929</v>
      </c>
      <c r="F28" s="418">
        <f t="shared" si="0"/>
        <v>56958</v>
      </c>
      <c r="G28" s="418">
        <v>0</v>
      </c>
      <c r="H28" s="418">
        <v>56958</v>
      </c>
      <c r="I28" s="419">
        <v>0</v>
      </c>
      <c r="K28" s="562"/>
      <c r="L28" s="547"/>
      <c r="N28" s="547"/>
    </row>
    <row r="29" spans="1:14" ht="15.95" customHeight="1" x14ac:dyDescent="0.25">
      <c r="A29" s="644" t="s">
        <v>54</v>
      </c>
      <c r="B29" s="645">
        <v>430300</v>
      </c>
      <c r="C29" s="645">
        <v>429671</v>
      </c>
      <c r="D29" s="417">
        <v>476281</v>
      </c>
      <c r="E29" s="417">
        <v>478696</v>
      </c>
      <c r="F29" s="418">
        <f t="shared" si="0"/>
        <v>412990</v>
      </c>
      <c r="G29" s="418">
        <v>0</v>
      </c>
      <c r="H29" s="418">
        <v>412990</v>
      </c>
      <c r="I29" s="419">
        <v>0</v>
      </c>
      <c r="K29" s="562"/>
      <c r="N29" s="547"/>
    </row>
    <row r="30" spans="1:14" ht="15.95" customHeight="1" x14ac:dyDescent="0.25">
      <c r="A30" s="423" t="s">
        <v>55</v>
      </c>
      <c r="B30" s="424">
        <v>660200</v>
      </c>
      <c r="C30" s="424">
        <v>659992</v>
      </c>
      <c r="D30" s="25">
        <v>736617</v>
      </c>
      <c r="E30" s="25">
        <v>750068</v>
      </c>
      <c r="F30" s="26">
        <f t="shared" si="0"/>
        <v>851484</v>
      </c>
      <c r="G30" s="26">
        <v>0</v>
      </c>
      <c r="H30" s="26">
        <v>851484</v>
      </c>
      <c r="I30" s="27">
        <v>0</v>
      </c>
    </row>
    <row r="31" spans="1:14" ht="15.95" customHeight="1" x14ac:dyDescent="0.25">
      <c r="A31" s="425" t="s">
        <v>56</v>
      </c>
      <c r="B31" s="420">
        <f>B32+B33+B34</f>
        <v>156778</v>
      </c>
      <c r="C31" s="420">
        <f>C32+C33+C34</f>
        <v>232970</v>
      </c>
      <c r="D31" s="420">
        <f>D32+D33+D34</f>
        <v>106264</v>
      </c>
      <c r="E31" s="420">
        <f>E32+E33+E34</f>
        <v>250599</v>
      </c>
      <c r="F31" s="421">
        <f t="shared" si="0"/>
        <v>118884</v>
      </c>
      <c r="G31" s="421">
        <f>SUM(G32:G34)</f>
        <v>0</v>
      </c>
      <c r="H31" s="421">
        <f>SUM(H32:H34)</f>
        <v>118884</v>
      </c>
      <c r="I31" s="422">
        <f>SUM(I32:I34)</f>
        <v>0</v>
      </c>
    </row>
    <row r="32" spans="1:14" ht="15.95" customHeight="1" x14ac:dyDescent="0.25">
      <c r="A32" s="416" t="s">
        <v>57</v>
      </c>
      <c r="B32" s="417">
        <v>98700</v>
      </c>
      <c r="C32" s="417">
        <v>96256</v>
      </c>
      <c r="D32" s="417">
        <v>106264</v>
      </c>
      <c r="E32" s="417">
        <v>107260</v>
      </c>
      <c r="F32" s="418">
        <f t="shared" si="0"/>
        <v>118884</v>
      </c>
      <c r="G32" s="418">
        <v>0</v>
      </c>
      <c r="H32" s="418">
        <v>118884</v>
      </c>
      <c r="I32" s="419">
        <v>0</v>
      </c>
    </row>
    <row r="33" spans="1:12" ht="15.95" customHeight="1" x14ac:dyDescent="0.25">
      <c r="A33" s="416" t="s">
        <v>58</v>
      </c>
      <c r="B33" s="417">
        <v>34847</v>
      </c>
      <c r="C33" s="417">
        <v>77658</v>
      </c>
      <c r="D33" s="417">
        <v>0</v>
      </c>
      <c r="E33" s="417">
        <v>98989</v>
      </c>
      <c r="F33" s="418">
        <f t="shared" si="0"/>
        <v>0</v>
      </c>
      <c r="G33" s="418">
        <v>0</v>
      </c>
      <c r="H33" s="418"/>
      <c r="I33" s="419">
        <v>0</v>
      </c>
    </row>
    <row r="34" spans="1:12" ht="15.95" customHeight="1" x14ac:dyDescent="0.25">
      <c r="A34" s="426" t="s">
        <v>59</v>
      </c>
      <c r="B34" s="427">
        <v>23231</v>
      </c>
      <c r="C34" s="427">
        <v>59056</v>
      </c>
      <c r="D34" s="417">
        <v>0</v>
      </c>
      <c r="E34" s="417">
        <v>44350</v>
      </c>
      <c r="F34" s="418">
        <f t="shared" si="0"/>
        <v>0</v>
      </c>
      <c r="G34" s="418">
        <v>0</v>
      </c>
      <c r="H34" s="418"/>
      <c r="I34" s="419">
        <v>0</v>
      </c>
    </row>
    <row r="35" spans="1:12" ht="15.95" customHeight="1" x14ac:dyDescent="0.25">
      <c r="A35" s="23" t="s">
        <v>60</v>
      </c>
      <c r="B35" s="420">
        <f>B36+B37</f>
        <v>90000</v>
      </c>
      <c r="C35" s="420">
        <f>C36+C37</f>
        <v>93503</v>
      </c>
      <c r="D35" s="420">
        <f>D36+D37</f>
        <v>90841</v>
      </c>
      <c r="E35" s="420">
        <f>E36+E37</f>
        <v>100167</v>
      </c>
      <c r="F35" s="421">
        <f t="shared" si="0"/>
        <v>101614</v>
      </c>
      <c r="G35" s="421">
        <f>SUM(G36:G37)</f>
        <v>0</v>
      </c>
      <c r="H35" s="421">
        <f>SUM(H36:H37)</f>
        <v>101614</v>
      </c>
      <c r="I35" s="422">
        <f>SUM(I36:I37)</f>
        <v>0</v>
      </c>
    </row>
    <row r="36" spans="1:12" ht="15.95" customHeight="1" x14ac:dyDescent="0.25">
      <c r="A36" s="646" t="s">
        <v>61</v>
      </c>
      <c r="B36" s="647">
        <v>49500</v>
      </c>
      <c r="C36" s="647">
        <v>51203</v>
      </c>
      <c r="D36" s="417">
        <v>49693</v>
      </c>
      <c r="E36" s="417">
        <v>54765</v>
      </c>
      <c r="F36" s="418">
        <f t="shared" si="0"/>
        <v>58699.389196146658</v>
      </c>
      <c r="G36" s="418">
        <v>0</v>
      </c>
      <c r="H36" s="418">
        <v>58699.389196146658</v>
      </c>
      <c r="I36" s="419">
        <v>0</v>
      </c>
      <c r="K36" s="547"/>
      <c r="L36" s="547"/>
    </row>
    <row r="37" spans="1:12" ht="15.95" customHeight="1" x14ac:dyDescent="0.25">
      <c r="A37" s="426" t="s">
        <v>62</v>
      </c>
      <c r="B37" s="427">
        <v>40500</v>
      </c>
      <c r="C37" s="427">
        <v>42300</v>
      </c>
      <c r="D37" s="417">
        <v>41148</v>
      </c>
      <c r="E37" s="417">
        <v>45402</v>
      </c>
      <c r="F37" s="418">
        <f t="shared" si="0"/>
        <v>42914.610803853349</v>
      </c>
      <c r="G37" s="418">
        <v>0</v>
      </c>
      <c r="H37" s="418">
        <v>42914.610803853349</v>
      </c>
      <c r="I37" s="419">
        <v>0</v>
      </c>
      <c r="K37" s="547"/>
      <c r="L37" s="547"/>
    </row>
    <row r="38" spans="1:12" ht="15.95" customHeight="1" x14ac:dyDescent="0.25">
      <c r="A38" s="23" t="s">
        <v>63</v>
      </c>
      <c r="B38" s="24">
        <v>147714</v>
      </c>
      <c r="C38" s="24">
        <v>152548</v>
      </c>
      <c r="D38" s="25">
        <v>152145</v>
      </c>
      <c r="E38" s="25">
        <v>158357</v>
      </c>
      <c r="F38" s="26">
        <f t="shared" si="0"/>
        <v>165282</v>
      </c>
      <c r="G38" s="26">
        <v>0</v>
      </c>
      <c r="H38" s="26">
        <v>165282</v>
      </c>
      <c r="I38" s="27">
        <v>0</v>
      </c>
    </row>
    <row r="39" spans="1:12" ht="15.95" customHeight="1" x14ac:dyDescent="0.25">
      <c r="A39" s="23" t="s">
        <v>64</v>
      </c>
      <c r="B39" s="24">
        <v>293500</v>
      </c>
      <c r="C39" s="24">
        <v>299692</v>
      </c>
      <c r="D39" s="25">
        <v>351469</v>
      </c>
      <c r="E39" s="25">
        <v>360084</v>
      </c>
      <c r="F39" s="26">
        <f t="shared" si="0"/>
        <v>418776</v>
      </c>
      <c r="G39" s="26">
        <v>0</v>
      </c>
      <c r="H39" s="26">
        <v>418776</v>
      </c>
      <c r="I39" s="27">
        <v>0</v>
      </c>
    </row>
    <row r="40" spans="1:12" ht="15.95" customHeight="1" x14ac:dyDescent="0.25">
      <c r="A40" s="579" t="s">
        <v>65</v>
      </c>
      <c r="B40" s="580">
        <v>1209361</v>
      </c>
      <c r="C40" s="580">
        <v>2942560</v>
      </c>
      <c r="D40" s="581">
        <v>1391356</v>
      </c>
      <c r="E40" s="581">
        <v>3345896</v>
      </c>
      <c r="F40" s="582">
        <f t="shared" si="0"/>
        <v>1709054</v>
      </c>
      <c r="G40" s="582">
        <v>0</v>
      </c>
      <c r="H40" s="582">
        <v>0</v>
      </c>
      <c r="I40" s="583">
        <f>'anexo 2'!I31+'S GOB.'!I25+'S ECONOM.'!I21+'S DES.AGROP.'!I18+'S OB. PUB.'!I21+'S EDUC.'!I33+'S SALUD'!I27+'S SEG.PUB.'!I26+'S TURISMO'!E23+'S DES.SOC.'!I22+'S TRABAJO'!I19+'S CULT'!I20+'S DES. SUST.'!I19</f>
        <v>1709054</v>
      </c>
    </row>
    <row r="41" spans="1:12" ht="15.95" customHeight="1" x14ac:dyDescent="0.25">
      <c r="A41" s="23" t="s">
        <v>571</v>
      </c>
      <c r="B41" s="24"/>
      <c r="C41" s="24"/>
      <c r="D41" s="25">
        <v>221500</v>
      </c>
      <c r="E41" s="25">
        <v>0</v>
      </c>
      <c r="F41" s="26">
        <f t="shared" si="0"/>
        <v>460035</v>
      </c>
      <c r="G41" s="26">
        <f>431621+26871+5000-4957+1500</f>
        <v>460035</v>
      </c>
      <c r="H41" s="26"/>
      <c r="I41" s="27"/>
    </row>
    <row r="42" spans="1:12" ht="15.95" customHeight="1" thickBot="1" x14ac:dyDescent="0.3">
      <c r="A42" s="549"/>
      <c r="B42" s="550"/>
      <c r="C42" s="550"/>
      <c r="D42" s="551">
        <v>0</v>
      </c>
      <c r="E42" s="551">
        <v>1500000</v>
      </c>
      <c r="F42" s="552"/>
      <c r="G42" s="552"/>
      <c r="H42" s="552"/>
      <c r="I42" s="553"/>
    </row>
    <row r="43" spans="1:12" ht="21.95" customHeight="1" x14ac:dyDescent="0.25"/>
    <row r="44" spans="1:12" ht="15" customHeight="1" x14ac:dyDescent="0.25">
      <c r="F44" s="5"/>
    </row>
    <row r="45" spans="1:12" ht="15" customHeight="1" x14ac:dyDescent="0.25">
      <c r="F45" s="5"/>
    </row>
  </sheetData>
  <mergeCells count="1">
    <mergeCell ref="A1:I1"/>
  </mergeCells>
  <phoneticPr fontId="23" type="noConversion"/>
  <printOptions horizontalCentered="1"/>
  <pageMargins left="0.51181102362204722" right="0.51181102362204722" top="1.1023622047244095" bottom="0.19685039370078741" header="0.31496062992125984" footer="0.31496062992125984"/>
  <pageSetup fitToHeight="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6.85546875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  <col min="7" max="7" width="12.7109375" bestFit="1" customWidth="1"/>
    <col min="8" max="8" width="11.5703125" bestFit="1" customWidth="1"/>
  </cols>
  <sheetData>
    <row r="1" spans="1:9" ht="21.95" customHeight="1" x14ac:dyDescent="0.25">
      <c r="A1" s="918" t="s">
        <v>269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15.75" x14ac:dyDescent="0.25">
      <c r="A5" s="171"/>
      <c r="B5" s="245"/>
      <c r="C5" s="246"/>
      <c r="D5" s="245"/>
      <c r="E5" s="246"/>
      <c r="F5" s="247"/>
      <c r="G5" s="248"/>
      <c r="H5" s="248"/>
      <c r="I5" s="249"/>
    </row>
    <row r="6" spans="1:9" ht="21.95" customHeight="1" x14ac:dyDescent="0.25">
      <c r="A6" s="443" t="s">
        <v>15</v>
      </c>
      <c r="B6" s="441">
        <f>SUM(B7:B9)</f>
        <v>18282</v>
      </c>
      <c r="C6" s="441">
        <f>SUM(C7:C9)</f>
        <v>17562</v>
      </c>
      <c r="D6" s="441">
        <f>SUM(D7:D9)</f>
        <v>18848</v>
      </c>
      <c r="E6" s="441">
        <f>SUM(E7:E9)</f>
        <v>19894</v>
      </c>
      <c r="F6" s="441">
        <f t="shared" ref="F6:F32" si="0">SUM(G6:I6)</f>
        <v>18282</v>
      </c>
      <c r="G6" s="441">
        <f>SUM(G7:G9)</f>
        <v>18282</v>
      </c>
      <c r="H6" s="441">
        <f>SUM(H7:H9)</f>
        <v>0</v>
      </c>
      <c r="I6" s="442">
        <f>SUM(I7:I9)</f>
        <v>0</v>
      </c>
    </row>
    <row r="7" spans="1:9" ht="15.75" x14ac:dyDescent="0.25">
      <c r="A7" s="250" t="s">
        <v>138</v>
      </c>
      <c r="B7" s="251">
        <v>16728</v>
      </c>
      <c r="C7" s="251">
        <v>16015</v>
      </c>
      <c r="D7" s="237">
        <v>17259</v>
      </c>
      <c r="E7" s="244">
        <v>18097</v>
      </c>
      <c r="F7" s="251">
        <f t="shared" si="0"/>
        <v>16728</v>
      </c>
      <c r="G7" s="251">
        <v>16728</v>
      </c>
      <c r="H7" s="251">
        <f>SUM(H8:H10)</f>
        <v>0</v>
      </c>
      <c r="I7" s="252">
        <f>SUM(I8:I10)</f>
        <v>0</v>
      </c>
    </row>
    <row r="8" spans="1:9" ht="15.75" x14ac:dyDescent="0.25">
      <c r="A8" s="164" t="s">
        <v>139</v>
      </c>
      <c r="B8" s="165">
        <v>603</v>
      </c>
      <c r="C8" s="165">
        <v>564</v>
      </c>
      <c r="D8" s="109">
        <v>591</v>
      </c>
      <c r="E8" s="166">
        <v>645</v>
      </c>
      <c r="F8" s="165">
        <f t="shared" si="0"/>
        <v>603</v>
      </c>
      <c r="G8" s="165">
        <v>603</v>
      </c>
      <c r="H8" s="165">
        <v>0</v>
      </c>
      <c r="I8" s="167">
        <v>0</v>
      </c>
    </row>
    <row r="9" spans="1:9" ht="15.75" x14ac:dyDescent="0.25">
      <c r="A9" s="239" t="s">
        <v>140</v>
      </c>
      <c r="B9" s="240">
        <v>951</v>
      </c>
      <c r="C9" s="240">
        <v>983</v>
      </c>
      <c r="D9" s="241">
        <v>998</v>
      </c>
      <c r="E9" s="253">
        <v>1152</v>
      </c>
      <c r="F9" s="240">
        <f t="shared" si="0"/>
        <v>951</v>
      </c>
      <c r="G9" s="240">
        <v>951</v>
      </c>
      <c r="H9" s="240">
        <v>0</v>
      </c>
      <c r="I9" s="254">
        <v>0</v>
      </c>
    </row>
    <row r="10" spans="1:9" ht="21.75" customHeight="1" x14ac:dyDescent="0.25">
      <c r="A10" s="443" t="s">
        <v>141</v>
      </c>
      <c r="B10" s="444"/>
      <c r="C10" s="444"/>
      <c r="D10" s="441"/>
      <c r="E10" s="441"/>
      <c r="F10" s="441">
        <f t="shared" si="0"/>
        <v>0</v>
      </c>
      <c r="G10" s="441">
        <v>0</v>
      </c>
      <c r="H10" s="441">
        <v>0</v>
      </c>
      <c r="I10" s="442">
        <v>0</v>
      </c>
    </row>
    <row r="11" spans="1:9" ht="15.75" x14ac:dyDescent="0.25">
      <c r="A11" s="255"/>
      <c r="B11" s="256"/>
      <c r="C11" s="256"/>
      <c r="D11" s="257"/>
      <c r="E11" s="257"/>
      <c r="F11" s="257">
        <f t="shared" si="0"/>
        <v>0</v>
      </c>
      <c r="G11" s="257"/>
      <c r="H11" s="257"/>
      <c r="I11" s="258"/>
    </row>
    <row r="12" spans="1:9" ht="21.75" customHeight="1" x14ac:dyDescent="0.25">
      <c r="A12" s="443" t="s">
        <v>142</v>
      </c>
      <c r="B12" s="441" t="e">
        <f>#REF!+#REF!+#REF!</f>
        <v>#REF!</v>
      </c>
      <c r="C12" s="441" t="e">
        <f>#REF!+#REF!+#REF!</f>
        <v>#REF!</v>
      </c>
      <c r="D12" s="441" t="e">
        <f>#REF!+#REF!+#REF!</f>
        <v>#REF!</v>
      </c>
      <c r="E12" s="441" t="e">
        <f>#REF!+#REF!+#REF!</f>
        <v>#REF!</v>
      </c>
      <c r="F12" s="441">
        <f t="shared" si="0"/>
        <v>0</v>
      </c>
      <c r="G12" s="441">
        <f>SUM(G13:G13)</f>
        <v>0</v>
      </c>
      <c r="H12" s="441">
        <f>SUM(H13:H13)</f>
        <v>0</v>
      </c>
      <c r="I12" s="442">
        <f>SUM(I13:I13)</f>
        <v>0</v>
      </c>
    </row>
    <row r="13" spans="1:9" ht="21.75" customHeight="1" x14ac:dyDescent="0.25">
      <c r="A13" s="234"/>
      <c r="B13" s="259"/>
      <c r="C13" s="259"/>
      <c r="D13" s="157"/>
      <c r="E13" s="157"/>
      <c r="F13" s="157">
        <f t="shared" si="0"/>
        <v>0</v>
      </c>
      <c r="G13" s="157">
        <v>0</v>
      </c>
      <c r="H13" s="157">
        <f>'Ingresos Totales 2'!H33+'Ingresos Totales 2'!H34</f>
        <v>0</v>
      </c>
      <c r="I13" s="236">
        <v>0</v>
      </c>
    </row>
    <row r="14" spans="1:9" ht="21.75" customHeight="1" x14ac:dyDescent="0.25">
      <c r="A14" s="501" t="s">
        <v>136</v>
      </c>
      <c r="B14" s="502"/>
      <c r="C14" s="502"/>
      <c r="D14" s="503"/>
      <c r="E14" s="503"/>
      <c r="F14" s="503">
        <f t="shared" si="0"/>
        <v>7470904</v>
      </c>
      <c r="G14" s="503">
        <f>SUM(G15:G32)</f>
        <v>1505614</v>
      </c>
      <c r="H14" s="503">
        <f>SUM(H15:H32)</f>
        <v>4947127</v>
      </c>
      <c r="I14" s="504">
        <f>SUM(I15:I32)</f>
        <v>1018163</v>
      </c>
    </row>
    <row r="15" spans="1:9" ht="21.75" customHeight="1" x14ac:dyDescent="0.25">
      <c r="A15" s="234" t="s">
        <v>156</v>
      </c>
      <c r="B15" s="161"/>
      <c r="C15" s="161"/>
      <c r="D15" s="157"/>
      <c r="E15" s="157"/>
      <c r="F15" s="157">
        <f t="shared" si="0"/>
        <v>57000</v>
      </c>
      <c r="G15" s="157">
        <v>57000</v>
      </c>
      <c r="H15" s="157">
        <v>0</v>
      </c>
      <c r="I15" s="236">
        <v>0</v>
      </c>
    </row>
    <row r="16" spans="1:9" ht="21.75" customHeight="1" x14ac:dyDescent="0.25">
      <c r="A16" s="123" t="s">
        <v>157</v>
      </c>
      <c r="B16" s="165"/>
      <c r="C16" s="165"/>
      <c r="D16" s="109"/>
      <c r="E16" s="109"/>
      <c r="F16" s="109">
        <f t="shared" si="0"/>
        <v>8863</v>
      </c>
      <c r="G16" s="109">
        <v>8863</v>
      </c>
      <c r="H16" s="109"/>
      <c r="I16" s="125">
        <v>0</v>
      </c>
    </row>
    <row r="17" spans="1:9" ht="21.75" customHeight="1" x14ac:dyDescent="0.25">
      <c r="A17" s="123" t="s">
        <v>158</v>
      </c>
      <c r="B17" s="165"/>
      <c r="C17" s="165"/>
      <c r="D17" s="109"/>
      <c r="E17" s="109"/>
      <c r="F17" s="109">
        <f t="shared" si="0"/>
        <v>73197.389196146658</v>
      </c>
      <c r="G17" s="109">
        <v>12500</v>
      </c>
      <c r="H17" s="109">
        <f>'Ingresos Totales 2'!H36</f>
        <v>58699.389196146658</v>
      </c>
      <c r="I17" s="125">
        <v>1998</v>
      </c>
    </row>
    <row r="18" spans="1:9" ht="21.75" customHeight="1" x14ac:dyDescent="0.25">
      <c r="A18" s="123" t="s">
        <v>159</v>
      </c>
      <c r="B18" s="202"/>
      <c r="C18" s="202"/>
      <c r="D18" s="109"/>
      <c r="E18" s="109"/>
      <c r="F18" s="109">
        <f t="shared" si="0"/>
        <v>2800</v>
      </c>
      <c r="G18" s="109">
        <v>2800</v>
      </c>
      <c r="H18" s="109"/>
      <c r="I18" s="125"/>
    </row>
    <row r="19" spans="1:9" ht="21.75" customHeight="1" x14ac:dyDescent="0.25">
      <c r="A19" s="123" t="s">
        <v>160</v>
      </c>
      <c r="B19" s="166"/>
      <c r="C19" s="166"/>
      <c r="D19" s="109"/>
      <c r="E19" s="109"/>
      <c r="F19" s="109">
        <f t="shared" si="0"/>
        <v>1174084</v>
      </c>
      <c r="G19" s="109">
        <v>480000</v>
      </c>
      <c r="H19" s="109">
        <v>0</v>
      </c>
      <c r="I19" s="125">
        <v>694084</v>
      </c>
    </row>
    <row r="20" spans="1:9" ht="21.75" customHeight="1" x14ac:dyDescent="0.25">
      <c r="A20" s="123" t="s">
        <v>161</v>
      </c>
      <c r="B20" s="202"/>
      <c r="C20" s="202"/>
      <c r="D20" s="109"/>
      <c r="E20" s="109"/>
      <c r="F20" s="109">
        <f t="shared" si="0"/>
        <v>46939.610803853349</v>
      </c>
      <c r="G20" s="109">
        <v>4025</v>
      </c>
      <c r="H20" s="109">
        <f>'Ingresos Totales 2'!H37</f>
        <v>42914.610803853349</v>
      </c>
      <c r="I20" s="125">
        <v>0</v>
      </c>
    </row>
    <row r="21" spans="1:9" ht="21.75" customHeight="1" x14ac:dyDescent="0.25">
      <c r="A21" s="527" t="s">
        <v>162</v>
      </c>
      <c r="B21" s="532"/>
      <c r="C21" s="532"/>
      <c r="D21" s="528"/>
      <c r="E21" s="528"/>
      <c r="F21" s="528">
        <f t="shared" si="0"/>
        <v>64701</v>
      </c>
      <c r="G21" s="528">
        <v>19000</v>
      </c>
      <c r="H21" s="528">
        <v>0</v>
      </c>
      <c r="I21" s="125">
        <v>45701</v>
      </c>
    </row>
    <row r="22" spans="1:9" ht="21.75" customHeight="1" x14ac:dyDescent="0.25">
      <c r="A22" s="527" t="s">
        <v>163</v>
      </c>
      <c r="B22" s="532"/>
      <c r="C22" s="532"/>
      <c r="D22" s="528"/>
      <c r="E22" s="528"/>
      <c r="F22" s="528">
        <f t="shared" si="0"/>
        <v>28001</v>
      </c>
      <c r="G22" s="528">
        <f>27001+1000</f>
        <v>28001</v>
      </c>
      <c r="H22" s="528"/>
      <c r="I22" s="125"/>
    </row>
    <row r="23" spans="1:9" ht="21.75" customHeight="1" x14ac:dyDescent="0.25">
      <c r="A23" s="527" t="s">
        <v>164</v>
      </c>
      <c r="B23" s="532"/>
      <c r="C23" s="532"/>
      <c r="D23" s="528"/>
      <c r="E23" s="528"/>
      <c r="F23" s="528">
        <f t="shared" si="0"/>
        <v>46380</v>
      </c>
      <c r="G23" s="528">
        <f>21000+1000</f>
        <v>22000</v>
      </c>
      <c r="H23" s="528"/>
      <c r="I23" s="125">
        <v>24380</v>
      </c>
    </row>
    <row r="24" spans="1:9" ht="21.75" customHeight="1" x14ac:dyDescent="0.25">
      <c r="A24" s="123" t="s">
        <v>165</v>
      </c>
      <c r="B24" s="202"/>
      <c r="C24" s="202"/>
      <c r="D24" s="109"/>
      <c r="E24" s="109"/>
      <c r="F24" s="109">
        <f t="shared" si="0"/>
        <v>5634513</v>
      </c>
      <c r="G24" s="109">
        <f>800000-63000</f>
        <v>737000</v>
      </c>
      <c r="H24" s="109">
        <f>'Ingresos Totales 2'!H25</f>
        <v>4845513</v>
      </c>
      <c r="I24" s="125">
        <v>52000</v>
      </c>
    </row>
    <row r="25" spans="1:9" ht="21.75" customHeight="1" x14ac:dyDescent="0.25">
      <c r="A25" s="123" t="s">
        <v>166</v>
      </c>
      <c r="B25" s="202"/>
      <c r="C25" s="202"/>
      <c r="D25" s="109"/>
      <c r="E25" s="109"/>
      <c r="F25" s="109">
        <f t="shared" si="0"/>
        <v>3925</v>
      </c>
      <c r="G25" s="109">
        <v>3925</v>
      </c>
      <c r="H25" s="109">
        <v>0</v>
      </c>
      <c r="I25" s="125">
        <v>0</v>
      </c>
    </row>
    <row r="26" spans="1:9" ht="21.75" customHeight="1" x14ac:dyDescent="0.25">
      <c r="A26" s="123" t="s">
        <v>167</v>
      </c>
      <c r="B26" s="202"/>
      <c r="C26" s="202"/>
      <c r="D26" s="109"/>
      <c r="E26" s="109"/>
      <c r="F26" s="109">
        <f t="shared" si="0"/>
        <v>222000</v>
      </c>
      <c r="G26" s="109">
        <v>22000</v>
      </c>
      <c r="H26" s="109">
        <v>0</v>
      </c>
      <c r="I26" s="125">
        <f>400000-200000</f>
        <v>200000</v>
      </c>
    </row>
    <row r="27" spans="1:9" ht="21.75" customHeight="1" x14ac:dyDescent="0.25">
      <c r="A27" s="123" t="s">
        <v>168</v>
      </c>
      <c r="B27" s="202"/>
      <c r="C27" s="202"/>
      <c r="D27" s="109"/>
      <c r="E27" s="109"/>
      <c r="F27" s="109">
        <f t="shared" si="0"/>
        <v>7000</v>
      </c>
      <c r="G27" s="109">
        <v>7000</v>
      </c>
      <c r="H27" s="109">
        <v>0</v>
      </c>
      <c r="I27" s="125">
        <v>0</v>
      </c>
    </row>
    <row r="28" spans="1:9" ht="21.75" customHeight="1" x14ac:dyDescent="0.25">
      <c r="A28" s="123" t="s">
        <v>169</v>
      </c>
      <c r="B28" s="202"/>
      <c r="C28" s="202"/>
      <c r="D28" s="109"/>
      <c r="E28" s="109"/>
      <c r="F28" s="109">
        <f t="shared" si="0"/>
        <v>7000</v>
      </c>
      <c r="G28" s="109">
        <v>7000</v>
      </c>
      <c r="H28" s="109">
        <v>0</v>
      </c>
      <c r="I28" s="125">
        <v>0</v>
      </c>
    </row>
    <row r="29" spans="1:9" ht="21.75" customHeight="1" x14ac:dyDescent="0.25">
      <c r="A29" s="123" t="s">
        <v>170</v>
      </c>
      <c r="B29" s="202"/>
      <c r="C29" s="202"/>
      <c r="D29" s="109"/>
      <c r="E29" s="109"/>
      <c r="F29" s="109">
        <f t="shared" si="0"/>
        <v>3000</v>
      </c>
      <c r="G29" s="109">
        <v>3000</v>
      </c>
      <c r="H29" s="109">
        <v>0</v>
      </c>
      <c r="I29" s="125">
        <v>0</v>
      </c>
    </row>
    <row r="30" spans="1:9" ht="21.75" customHeight="1" x14ac:dyDescent="0.25">
      <c r="A30" s="123" t="s">
        <v>171</v>
      </c>
      <c r="B30" s="202"/>
      <c r="C30" s="202"/>
      <c r="D30" s="109"/>
      <c r="E30" s="109"/>
      <c r="F30" s="109">
        <f t="shared" si="0"/>
        <v>8500</v>
      </c>
      <c r="G30" s="109">
        <v>8500</v>
      </c>
      <c r="H30" s="109">
        <v>0</v>
      </c>
      <c r="I30" s="125">
        <v>0</v>
      </c>
    </row>
    <row r="31" spans="1:9" ht="21.75" customHeight="1" x14ac:dyDescent="0.25">
      <c r="A31" s="123" t="s">
        <v>172</v>
      </c>
      <c r="B31" s="202"/>
      <c r="C31" s="202"/>
      <c r="D31" s="109"/>
      <c r="E31" s="109"/>
      <c r="F31" s="109">
        <f t="shared" si="0"/>
        <v>20000</v>
      </c>
      <c r="G31" s="109">
        <v>20000</v>
      </c>
      <c r="H31" s="261">
        <v>0</v>
      </c>
      <c r="I31" s="262">
        <v>0</v>
      </c>
    </row>
    <row r="32" spans="1:9" ht="21.75" customHeight="1" thickBot="1" x14ac:dyDescent="0.3">
      <c r="A32" s="204" t="s">
        <v>582</v>
      </c>
      <c r="B32" s="205"/>
      <c r="C32" s="205"/>
      <c r="D32" s="206"/>
      <c r="E32" s="206"/>
      <c r="F32" s="206">
        <f t="shared" si="0"/>
        <v>63000</v>
      </c>
      <c r="G32" s="206">
        <v>63000</v>
      </c>
      <c r="H32" s="648">
        <v>0</v>
      </c>
      <c r="I32" s="649">
        <v>0</v>
      </c>
    </row>
    <row r="33" spans="1:9" ht="21.75" customHeight="1" thickBot="1" x14ac:dyDescent="0.3">
      <c r="A33" s="428" t="s">
        <v>100</v>
      </c>
      <c r="B33" s="429" t="e">
        <f>B6+B10+B12</f>
        <v>#REF!</v>
      </c>
      <c r="C33" s="429" t="e">
        <f>C6+C10+C12</f>
        <v>#REF!</v>
      </c>
      <c r="D33" s="429" t="e">
        <f>D6+D10+D12</f>
        <v>#REF!</v>
      </c>
      <c r="E33" s="430" t="e">
        <f>E6+E10+E12</f>
        <v>#REF!</v>
      </c>
      <c r="F33" s="437">
        <f>F6+F10+F12+F14</f>
        <v>7489186</v>
      </c>
      <c r="G33" s="437">
        <f>G6+G10+G12+G14</f>
        <v>1523896</v>
      </c>
      <c r="H33" s="437">
        <f>H6+H10+H12+H14</f>
        <v>4947127</v>
      </c>
      <c r="I33" s="437">
        <f>I6+I10+I12+I14</f>
        <v>1018163</v>
      </c>
    </row>
    <row r="34" spans="1:9" ht="21.95" customHeight="1" x14ac:dyDescent="0.25"/>
    <row r="35" spans="1:9" ht="21.95" customHeight="1" x14ac:dyDescent="0.25">
      <c r="A35" s="156"/>
      <c r="B35" s="156"/>
      <c r="C35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70866141732283472" right="0.70866141732283472" top="1.1023622047244095" bottom="0.55118110236220474" header="0.31496062992125984" footer="0.31496062992125984"/>
  <pageSetup fitToHeight="5" orientation="portrait" horizontalDpi="300" verticalDpi="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G10" sqref="G10:G1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  <col min="13" max="13" width="12" bestFit="1" customWidth="1"/>
    <col min="15" max="15" width="17.85546875" bestFit="1" customWidth="1"/>
  </cols>
  <sheetData>
    <row r="1" spans="1:15" ht="21.95" customHeight="1" x14ac:dyDescent="0.25">
      <c r="A1" s="918" t="s">
        <v>119</v>
      </c>
      <c r="B1" s="919"/>
      <c r="C1" s="919"/>
      <c r="D1" s="919"/>
      <c r="E1" s="919"/>
      <c r="F1" s="919"/>
      <c r="G1" s="919"/>
      <c r="H1" s="919"/>
      <c r="I1" s="920"/>
    </row>
    <row r="2" spans="1:15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15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15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15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15" ht="21.95" customHeight="1" x14ac:dyDescent="0.25">
      <c r="A6" s="435" t="s">
        <v>15</v>
      </c>
      <c r="B6" s="433">
        <f>SUM(B7:B9)</f>
        <v>262600</v>
      </c>
      <c r="C6" s="433">
        <f>SUM(C7:C9)</f>
        <v>307567</v>
      </c>
      <c r="D6" s="433">
        <f>SUM(D7:D9)</f>
        <v>300229</v>
      </c>
      <c r="E6" s="433">
        <f>SUM(E7:E9)</f>
        <v>326558</v>
      </c>
      <c r="F6" s="433">
        <f t="shared" ref="F6:F16" si="0">SUM(G6:I6)</f>
        <v>275162</v>
      </c>
      <c r="G6" s="433">
        <f>SUM(G7:G11)</f>
        <v>275162</v>
      </c>
      <c r="H6" s="433">
        <f>SUM(H7:H9)</f>
        <v>0</v>
      </c>
      <c r="I6" s="434">
        <f>SUM(I7:I9)</f>
        <v>0</v>
      </c>
    </row>
    <row r="7" spans="1:15" ht="21.95" customHeight="1" x14ac:dyDescent="0.25">
      <c r="A7" s="187" t="s">
        <v>138</v>
      </c>
      <c r="B7" s="188">
        <v>220328</v>
      </c>
      <c r="C7" s="188">
        <v>248330</v>
      </c>
      <c r="D7" s="189">
        <v>245568</v>
      </c>
      <c r="E7" s="190">
        <v>264063</v>
      </c>
      <c r="F7" s="189">
        <f t="shared" si="0"/>
        <v>200000</v>
      </c>
      <c r="G7" s="190">
        <v>200000</v>
      </c>
      <c r="H7" s="189"/>
      <c r="I7" s="194"/>
    </row>
    <row r="8" spans="1:15" ht="21.95" customHeight="1" x14ac:dyDescent="0.25">
      <c r="A8" s="164" t="s">
        <v>139</v>
      </c>
      <c r="B8" s="165">
        <v>21288</v>
      </c>
      <c r="C8" s="165">
        <v>24360</v>
      </c>
      <c r="D8" s="109">
        <v>23582</v>
      </c>
      <c r="E8" s="166">
        <v>25317</v>
      </c>
      <c r="F8" s="109">
        <f t="shared" si="0"/>
        <v>28772</v>
      </c>
      <c r="G8" s="166">
        <v>28772</v>
      </c>
      <c r="H8" s="109"/>
      <c r="I8" s="125"/>
      <c r="K8" s="5"/>
    </row>
    <row r="9" spans="1:15" ht="21.95" customHeight="1" x14ac:dyDescent="0.25">
      <c r="A9" s="187" t="s">
        <v>140</v>
      </c>
      <c r="B9" s="188">
        <v>20984</v>
      </c>
      <c r="C9" s="188">
        <v>34877</v>
      </c>
      <c r="D9" s="189">
        <v>31079</v>
      </c>
      <c r="E9" s="190">
        <v>37178</v>
      </c>
      <c r="F9" s="189">
        <f t="shared" si="0"/>
        <v>36389</v>
      </c>
      <c r="G9" s="190">
        <v>36389</v>
      </c>
      <c r="H9" s="189"/>
      <c r="I9" s="194"/>
      <c r="K9" s="5"/>
    </row>
    <row r="10" spans="1:15" ht="31.5" x14ac:dyDescent="0.25">
      <c r="A10" s="718" t="s">
        <v>563</v>
      </c>
      <c r="B10" s="193"/>
      <c r="C10" s="193"/>
      <c r="D10" s="189"/>
      <c r="E10" s="189"/>
      <c r="F10" s="189">
        <f t="shared" si="0"/>
        <v>2033</v>
      </c>
      <c r="G10" s="189">
        <v>2033</v>
      </c>
      <c r="H10" s="189"/>
      <c r="I10" s="194"/>
      <c r="O10" s="720"/>
    </row>
    <row r="11" spans="1:15" ht="31.5" x14ac:dyDescent="0.25">
      <c r="A11" s="718" t="s">
        <v>564</v>
      </c>
      <c r="B11" s="193"/>
      <c r="C11" s="193"/>
      <c r="D11" s="189"/>
      <c r="E11" s="189"/>
      <c r="F11" s="189">
        <f t="shared" si="0"/>
        <v>7968</v>
      </c>
      <c r="G11" s="189">
        <v>7968</v>
      </c>
      <c r="H11" s="189"/>
      <c r="I11" s="194"/>
      <c r="K11" s="5"/>
    </row>
    <row r="12" spans="1:15" ht="21.95" customHeight="1" x14ac:dyDescent="0.25">
      <c r="A12" s="435" t="s">
        <v>141</v>
      </c>
      <c r="B12" s="436"/>
      <c r="C12" s="436"/>
      <c r="D12" s="433"/>
      <c r="E12" s="433"/>
      <c r="F12" s="433">
        <f t="shared" si="0"/>
        <v>0</v>
      </c>
      <c r="G12" s="433">
        <f>SUM(G13)</f>
        <v>0</v>
      </c>
      <c r="H12" s="433">
        <f t="shared" ref="H12:I12" si="1">SUM(H13)</f>
        <v>0</v>
      </c>
      <c r="I12" s="434">
        <f t="shared" si="1"/>
        <v>0</v>
      </c>
    </row>
    <row r="13" spans="1:15" ht="21.95" customHeight="1" x14ac:dyDescent="0.25">
      <c r="A13" s="196"/>
      <c r="B13" s="197"/>
      <c r="C13" s="197"/>
      <c r="D13" s="189"/>
      <c r="E13" s="189"/>
      <c r="F13" s="189">
        <f t="shared" si="0"/>
        <v>0</v>
      </c>
      <c r="G13" s="189"/>
      <c r="H13" s="189"/>
      <c r="I13" s="194"/>
    </row>
    <row r="14" spans="1:15" ht="21.95" customHeight="1" x14ac:dyDescent="0.25">
      <c r="A14" s="435" t="s">
        <v>142</v>
      </c>
      <c r="B14" s="433" t="e">
        <f>#REF!+#REF!+#REF!</f>
        <v>#REF!</v>
      </c>
      <c r="C14" s="433" t="e">
        <f>#REF!+#REF!+#REF!</f>
        <v>#REF!</v>
      </c>
      <c r="D14" s="433" t="e">
        <f>#REF!+#REF!+#REF!</f>
        <v>#REF!</v>
      </c>
      <c r="E14" s="433" t="e">
        <f>#REF!+#REF!+#REF!</f>
        <v>#REF!</v>
      </c>
      <c r="F14" s="433">
        <f t="shared" si="0"/>
        <v>0</v>
      </c>
      <c r="G14" s="433">
        <f>SUM(G15)</f>
        <v>0</v>
      </c>
      <c r="H14" s="433">
        <f t="shared" ref="H14:I14" si="2">SUM(H15)</f>
        <v>0</v>
      </c>
      <c r="I14" s="434">
        <f t="shared" si="2"/>
        <v>0</v>
      </c>
    </row>
    <row r="15" spans="1:15" ht="21.95" customHeight="1" x14ac:dyDescent="0.25">
      <c r="A15" s="196"/>
      <c r="B15" s="197"/>
      <c r="C15" s="197"/>
      <c r="D15" s="199"/>
      <c r="E15" s="199"/>
      <c r="F15" s="199">
        <f t="shared" si="0"/>
        <v>0</v>
      </c>
      <c r="G15" s="199"/>
      <c r="H15" s="199"/>
      <c r="I15" s="200"/>
    </row>
    <row r="16" spans="1:15" ht="21.95" customHeight="1" x14ac:dyDescent="0.25">
      <c r="A16" s="431" t="s">
        <v>136</v>
      </c>
      <c r="B16" s="432"/>
      <c r="C16" s="432"/>
      <c r="D16" s="433"/>
      <c r="E16" s="433"/>
      <c r="F16" s="433">
        <f t="shared" si="0"/>
        <v>26871</v>
      </c>
      <c r="G16" s="433">
        <f>SUM(G17)</f>
        <v>26871</v>
      </c>
      <c r="H16" s="433">
        <f>SUM(H17)</f>
        <v>0</v>
      </c>
      <c r="I16" s="434">
        <f>SUM(I17)</f>
        <v>0</v>
      </c>
    </row>
    <row r="17" spans="1:10" ht="21.95" customHeight="1" thickBot="1" x14ac:dyDescent="0.3">
      <c r="A17" s="201" t="s">
        <v>562</v>
      </c>
      <c r="B17" s="197"/>
      <c r="C17" s="197"/>
      <c r="D17" s="199"/>
      <c r="E17" s="199"/>
      <c r="F17" s="199">
        <f>SUM(G17:I17)</f>
        <v>26871</v>
      </c>
      <c r="G17" s="189">
        <v>26871</v>
      </c>
      <c r="H17" s="199"/>
      <c r="I17" s="200"/>
    </row>
    <row r="18" spans="1:10" ht="21.95" customHeight="1" thickBot="1" x14ac:dyDescent="0.3">
      <c r="A18" s="428" t="s">
        <v>100</v>
      </c>
      <c r="B18" s="429" t="e">
        <f>B6+B12+B14</f>
        <v>#REF!</v>
      </c>
      <c r="C18" s="429" t="e">
        <f>C6+C12+C14</f>
        <v>#REF!</v>
      </c>
      <c r="D18" s="429" t="e">
        <f>D6+D12+D14</f>
        <v>#REF!</v>
      </c>
      <c r="E18" s="430" t="e">
        <f>E6+E12+E14</f>
        <v>#REF!</v>
      </c>
      <c r="F18" s="437">
        <f>F6+F12+F14+F16</f>
        <v>302033</v>
      </c>
      <c r="G18" s="437">
        <f>G6+G12+G14+G16</f>
        <v>302033</v>
      </c>
      <c r="H18" s="437">
        <f>H6+H12+H14+H16</f>
        <v>0</v>
      </c>
      <c r="I18" s="437">
        <f>I6+I12+I14+I16</f>
        <v>0</v>
      </c>
    </row>
    <row r="19" spans="1:10" ht="21.95" customHeight="1" x14ac:dyDescent="0.25">
      <c r="J19" t="s">
        <v>177</v>
      </c>
    </row>
    <row r="20" spans="1:10" ht="21.95" customHeight="1" x14ac:dyDescent="0.25">
      <c r="A20" s="156"/>
      <c r="B20" s="156"/>
      <c r="C20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0.9055118110236221" bottom="0.74803149606299213" header="0.31496062992125984" footer="0.31496062992125984"/>
  <pageSetup fitToHeight="5" orientation="portrait" horizontalDpi="300" verticalDpi="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4" topLeftCell="A5" activePane="bottomLeft" state="frozen"/>
      <selection activeCell="C31" sqref="C31"/>
      <selection pane="bottomLeft" activeCell="H12" sqref="H12"/>
    </sheetView>
  </sheetViews>
  <sheetFormatPr baseColWidth="10" defaultColWidth="11.42578125" defaultRowHeight="15" customHeight="1" x14ac:dyDescent="0.25"/>
  <cols>
    <col min="1" max="1" width="39.5703125" bestFit="1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  <col min="8" max="8" width="11.5703125" bestFit="1" customWidth="1"/>
  </cols>
  <sheetData>
    <row r="1" spans="1:9" ht="21.95" customHeight="1" x14ac:dyDescent="0.25">
      <c r="A1" s="918" t="s">
        <v>283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19"/>
      <c r="C5" s="119"/>
      <c r="D5" s="120"/>
      <c r="E5" s="120"/>
      <c r="F5" s="120"/>
      <c r="G5" s="120"/>
      <c r="H5" s="120"/>
      <c r="I5" s="122"/>
    </row>
    <row r="6" spans="1:9" ht="21.95" customHeight="1" x14ac:dyDescent="0.25">
      <c r="A6" s="435" t="s">
        <v>15</v>
      </c>
      <c r="B6" s="433">
        <f t="shared" ref="B6:I6" si="0">SUM(B7:B9)</f>
        <v>8865</v>
      </c>
      <c r="C6" s="433">
        <f t="shared" si="0"/>
        <v>9803</v>
      </c>
      <c r="D6" s="433">
        <f t="shared" si="0"/>
        <v>10469</v>
      </c>
      <c r="E6" s="433">
        <f t="shared" si="0"/>
        <v>11074</v>
      </c>
      <c r="F6" s="433">
        <f t="shared" si="0"/>
        <v>20325</v>
      </c>
      <c r="G6" s="433">
        <f t="shared" si="0"/>
        <v>20325</v>
      </c>
      <c r="H6" s="433">
        <f t="shared" si="0"/>
        <v>0</v>
      </c>
      <c r="I6" s="434">
        <f t="shared" si="0"/>
        <v>0</v>
      </c>
    </row>
    <row r="7" spans="1:9" ht="21.95" customHeight="1" x14ac:dyDescent="0.25">
      <c r="A7" s="187" t="s">
        <v>138</v>
      </c>
      <c r="B7" s="188">
        <v>8241</v>
      </c>
      <c r="C7" s="188">
        <v>8934</v>
      </c>
      <c r="D7" s="189">
        <v>8841</v>
      </c>
      <c r="E7" s="190">
        <v>9635</v>
      </c>
      <c r="F7" s="188">
        <f>SUM(G7:I7)</f>
        <v>18325</v>
      </c>
      <c r="G7" s="188">
        <v>18325</v>
      </c>
      <c r="H7" s="188">
        <v>0</v>
      </c>
      <c r="I7" s="191">
        <v>0</v>
      </c>
    </row>
    <row r="8" spans="1:9" ht="21.95" customHeight="1" x14ac:dyDescent="0.25">
      <c r="A8" s="164" t="s">
        <v>139</v>
      </c>
      <c r="B8" s="165">
        <v>230</v>
      </c>
      <c r="C8" s="165">
        <v>328</v>
      </c>
      <c r="D8" s="109">
        <v>400</v>
      </c>
      <c r="E8" s="166">
        <v>359</v>
      </c>
      <c r="F8" s="165">
        <f>SUM(G8:I8)</f>
        <v>1000</v>
      </c>
      <c r="G8" s="165">
        <v>1000</v>
      </c>
      <c r="H8" s="165">
        <v>0</v>
      </c>
      <c r="I8" s="167">
        <v>0</v>
      </c>
    </row>
    <row r="9" spans="1:9" ht="21.95" customHeight="1" x14ac:dyDescent="0.25">
      <c r="A9" s="187" t="s">
        <v>140</v>
      </c>
      <c r="B9" s="188">
        <v>394</v>
      </c>
      <c r="C9" s="188">
        <v>541</v>
      </c>
      <c r="D9" s="189">
        <v>1228</v>
      </c>
      <c r="E9" s="190">
        <v>1080</v>
      </c>
      <c r="F9" s="188">
        <f>SUM(G9:I9)</f>
        <v>1000</v>
      </c>
      <c r="G9" s="188">
        <v>1000</v>
      </c>
      <c r="H9" s="188">
        <v>0</v>
      </c>
      <c r="I9" s="191">
        <v>0</v>
      </c>
    </row>
    <row r="10" spans="1:9" ht="21.9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1">SUM(H12)</f>
        <v>0</v>
      </c>
      <c r="I11" s="434">
        <f t="shared" si="1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#REF!+#REF!+#REF!+#REF!</f>
        <v>#REF!</v>
      </c>
      <c r="F13" s="433">
        <f t="shared" ref="F13:F26" si="2">SUM(G13:I13)</f>
        <v>0</v>
      </c>
      <c r="G13" s="433">
        <f>SUM(G14)</f>
        <v>0</v>
      </c>
      <c r="H13" s="433">
        <f>SUM(H14)</f>
        <v>0</v>
      </c>
      <c r="I13" s="434">
        <f>SUM(I14)</f>
        <v>0</v>
      </c>
    </row>
    <row r="14" spans="1:9" ht="21.95" customHeight="1" x14ac:dyDescent="0.25">
      <c r="A14" s="263"/>
      <c r="B14" s="225"/>
      <c r="C14" s="225"/>
      <c r="D14" s="225"/>
      <c r="E14" s="225"/>
      <c r="F14" s="198">
        <f t="shared" si="2"/>
        <v>0</v>
      </c>
      <c r="G14" s="109"/>
      <c r="H14" s="198"/>
      <c r="I14" s="226"/>
    </row>
    <row r="15" spans="1:9" ht="21.75" customHeight="1" x14ac:dyDescent="0.25">
      <c r="A15" s="431" t="s">
        <v>136</v>
      </c>
      <c r="B15" s="432"/>
      <c r="C15" s="432"/>
      <c r="D15" s="433"/>
      <c r="E15" s="433"/>
      <c r="F15" s="433">
        <f t="shared" si="2"/>
        <v>2688514</v>
      </c>
      <c r="G15" s="433">
        <f>SUM(G16:G26)</f>
        <v>657000</v>
      </c>
      <c r="H15" s="433">
        <f>SUM(H16:H26)</f>
        <v>1345377</v>
      </c>
      <c r="I15" s="434">
        <f>SUM(I16:I26)</f>
        <v>686137</v>
      </c>
    </row>
    <row r="16" spans="1:9" ht="21.75" customHeight="1" x14ac:dyDescent="0.25">
      <c r="A16" s="164" t="s">
        <v>173</v>
      </c>
      <c r="B16" s="165"/>
      <c r="C16" s="165"/>
      <c r="D16" s="109"/>
      <c r="E16" s="109"/>
      <c r="F16" s="109">
        <f t="shared" si="2"/>
        <v>3000</v>
      </c>
      <c r="G16" s="109">
        <v>3000</v>
      </c>
      <c r="H16" s="109">
        <v>0</v>
      </c>
      <c r="I16" s="125">
        <v>0</v>
      </c>
    </row>
    <row r="17" spans="1:9" ht="21.75" customHeight="1" x14ac:dyDescent="0.25">
      <c r="A17" s="533" t="s">
        <v>174</v>
      </c>
      <c r="B17" s="534"/>
      <c r="C17" s="534"/>
      <c r="D17" s="528"/>
      <c r="E17" s="528"/>
      <c r="F17" s="528">
        <f t="shared" si="2"/>
        <v>171000</v>
      </c>
      <c r="G17" s="528">
        <v>171000</v>
      </c>
      <c r="H17" s="109">
        <v>0</v>
      </c>
      <c r="I17" s="125">
        <v>0</v>
      </c>
    </row>
    <row r="18" spans="1:9" ht="21.75" customHeight="1" x14ac:dyDescent="0.25">
      <c r="A18" s="533" t="s">
        <v>175</v>
      </c>
      <c r="B18" s="534"/>
      <c r="C18" s="534"/>
      <c r="D18" s="528"/>
      <c r="E18" s="528"/>
      <c r="F18" s="528">
        <f t="shared" si="2"/>
        <v>1363493</v>
      </c>
      <c r="G18" s="528">
        <v>137000</v>
      </c>
      <c r="H18" s="109">
        <f>'Ingresos Totales 2'!H26</f>
        <v>1226493</v>
      </c>
      <c r="I18" s="125">
        <v>0</v>
      </c>
    </row>
    <row r="19" spans="1:9" ht="21.75" customHeight="1" x14ac:dyDescent="0.25">
      <c r="A19" s="527" t="s">
        <v>176</v>
      </c>
      <c r="B19" s="532"/>
      <c r="C19" s="532"/>
      <c r="D19" s="528"/>
      <c r="E19" s="528"/>
      <c r="F19" s="528">
        <f t="shared" si="2"/>
        <v>796137</v>
      </c>
      <c r="G19" s="528">
        <v>110000</v>
      </c>
      <c r="H19" s="109">
        <v>0</v>
      </c>
      <c r="I19" s="125">
        <v>686137</v>
      </c>
    </row>
    <row r="20" spans="1:9" ht="21.75" customHeight="1" x14ac:dyDescent="0.25">
      <c r="A20" s="530" t="s">
        <v>228</v>
      </c>
      <c r="B20" s="535"/>
      <c r="C20" s="535"/>
      <c r="D20" s="531"/>
      <c r="E20" s="531"/>
      <c r="F20" s="528">
        <f t="shared" si="2"/>
        <v>214884</v>
      </c>
      <c r="G20" s="531">
        <v>96000</v>
      </c>
      <c r="H20" s="146">
        <f>'Ingresos Totales 2'!H32</f>
        <v>118884</v>
      </c>
      <c r="I20" s="148"/>
    </row>
    <row r="21" spans="1:9" ht="21.75" customHeight="1" x14ac:dyDescent="0.25">
      <c r="A21" s="530" t="s">
        <v>573</v>
      </c>
      <c r="B21" s="535"/>
      <c r="C21" s="535"/>
      <c r="D21" s="531"/>
      <c r="E21" s="531"/>
      <c r="F21" s="528">
        <f t="shared" si="2"/>
        <v>12000</v>
      </c>
      <c r="G21" s="531">
        <v>12000</v>
      </c>
      <c r="H21" s="146"/>
      <c r="I21" s="148"/>
    </row>
    <row r="22" spans="1:9" ht="21.75" customHeight="1" x14ac:dyDescent="0.25">
      <c r="A22" s="530" t="s">
        <v>438</v>
      </c>
      <c r="B22" s="535"/>
      <c r="C22" s="535"/>
      <c r="D22" s="531"/>
      <c r="E22" s="531"/>
      <c r="F22" s="528">
        <f t="shared" si="2"/>
        <v>20000</v>
      </c>
      <c r="G22" s="531">
        <v>20000</v>
      </c>
      <c r="H22" s="146"/>
      <c r="I22" s="148"/>
    </row>
    <row r="23" spans="1:9" ht="31.5" x14ac:dyDescent="0.25">
      <c r="A23" s="721" t="s">
        <v>574</v>
      </c>
      <c r="B23" s="535"/>
      <c r="C23" s="535"/>
      <c r="D23" s="531"/>
      <c r="E23" s="531"/>
      <c r="F23" s="528">
        <f t="shared" si="2"/>
        <v>20000</v>
      </c>
      <c r="G23" s="531">
        <v>20000</v>
      </c>
      <c r="H23" s="146"/>
      <c r="I23" s="148"/>
    </row>
    <row r="24" spans="1:9" ht="31.5" x14ac:dyDescent="0.25">
      <c r="A24" s="721" t="s">
        <v>575</v>
      </c>
      <c r="B24" s="535"/>
      <c r="C24" s="535"/>
      <c r="D24" s="531"/>
      <c r="E24" s="531"/>
      <c r="F24" s="528">
        <f t="shared" si="2"/>
        <v>10000</v>
      </c>
      <c r="G24" s="531">
        <v>10000</v>
      </c>
      <c r="H24" s="146"/>
      <c r="I24" s="148"/>
    </row>
    <row r="25" spans="1:9" ht="21.75" customHeight="1" x14ac:dyDescent="0.25">
      <c r="A25" s="530" t="s">
        <v>576</v>
      </c>
      <c r="B25" s="535"/>
      <c r="C25" s="535"/>
      <c r="D25" s="531"/>
      <c r="E25" s="531"/>
      <c r="F25" s="528">
        <f t="shared" si="2"/>
        <v>3000</v>
      </c>
      <c r="G25" s="531">
        <v>3000</v>
      </c>
      <c r="H25" s="146"/>
      <c r="I25" s="148"/>
    </row>
    <row r="26" spans="1:9" ht="21.75" customHeight="1" thickBot="1" x14ac:dyDescent="0.3">
      <c r="A26" s="536" t="s">
        <v>289</v>
      </c>
      <c r="B26" s="537"/>
      <c r="C26" s="537"/>
      <c r="D26" s="538"/>
      <c r="E26" s="538"/>
      <c r="F26" s="528">
        <f t="shared" si="2"/>
        <v>75000</v>
      </c>
      <c r="G26" s="538">
        <v>75000</v>
      </c>
      <c r="H26" s="206">
        <v>0</v>
      </c>
      <c r="I26" s="207">
        <v>0</v>
      </c>
    </row>
    <row r="27" spans="1:9" ht="21.95" customHeight="1" thickBot="1" x14ac:dyDescent="0.3">
      <c r="A27" s="428" t="s">
        <v>100</v>
      </c>
      <c r="B27" s="429" t="e">
        <f>B6+B11+B13</f>
        <v>#REF!</v>
      </c>
      <c r="C27" s="429" t="e">
        <f>C6+C11+C13</f>
        <v>#REF!</v>
      </c>
      <c r="D27" s="429" t="e">
        <f>D6+D11+D13</f>
        <v>#REF!</v>
      </c>
      <c r="E27" s="430" t="e">
        <f>E6+E11+E13+#REF!+E15</f>
        <v>#REF!</v>
      </c>
      <c r="F27" s="429">
        <f>F6+F11+F13+F15</f>
        <v>2708839</v>
      </c>
      <c r="G27" s="429">
        <f>G6+G11+G13+G15</f>
        <v>677325</v>
      </c>
      <c r="H27" s="429">
        <f>H6+H11+H13+H15</f>
        <v>1345377</v>
      </c>
      <c r="I27" s="445">
        <f>I6+I11+I13+I15</f>
        <v>686137</v>
      </c>
    </row>
    <row r="28" spans="1:9" ht="21.95" customHeight="1" x14ac:dyDescent="0.25"/>
    <row r="29" spans="1:9" ht="21.95" customHeight="1" x14ac:dyDescent="0.25">
      <c r="A29" s="156"/>
      <c r="B29" s="156"/>
      <c r="C29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0.70866141732283472" bottom="0.55118110236220474" header="0.31496062992125984" footer="0.31496062992125984"/>
  <pageSetup fitToHeight="5" orientation="portrait" horizontalDpi="300" verticalDpi="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284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35" t="s">
        <v>15</v>
      </c>
      <c r="B6" s="433">
        <f>SUM(B7:B9)</f>
        <v>74619</v>
      </c>
      <c r="C6" s="433">
        <f>SUM(C7:C9)</f>
        <v>79940</v>
      </c>
      <c r="D6" s="433">
        <f>SUM(D7:D9)</f>
        <v>81245</v>
      </c>
      <c r="E6" s="433">
        <f>SUM(E7:E9)</f>
        <v>85426</v>
      </c>
      <c r="F6" s="433">
        <f>SUM(G6:I6)</f>
        <v>69619</v>
      </c>
      <c r="G6" s="433">
        <f>SUM(G7:G9)</f>
        <v>69619</v>
      </c>
      <c r="H6" s="433">
        <f>SUM(H7:H9)</f>
        <v>0</v>
      </c>
      <c r="I6" s="434">
        <f>SUM(I7:I9)</f>
        <v>0</v>
      </c>
    </row>
    <row r="7" spans="1:9" ht="21.95" customHeight="1" x14ac:dyDescent="0.25">
      <c r="A7" s="187" t="s">
        <v>138</v>
      </c>
      <c r="B7" s="188">
        <v>65575</v>
      </c>
      <c r="C7" s="188">
        <v>68509</v>
      </c>
      <c r="D7" s="189">
        <v>72118</v>
      </c>
      <c r="E7" s="190">
        <v>74478</v>
      </c>
      <c r="F7" s="190">
        <f>SUM(G7:I7)</f>
        <v>60575</v>
      </c>
      <c r="G7" s="190">
        <f>65575-5000</f>
        <v>60575</v>
      </c>
      <c r="H7" s="190"/>
      <c r="I7" s="218"/>
    </row>
    <row r="8" spans="1:9" ht="21.95" customHeight="1" x14ac:dyDescent="0.25">
      <c r="A8" s="164" t="s">
        <v>139</v>
      </c>
      <c r="B8" s="165">
        <v>2439</v>
      </c>
      <c r="C8" s="165">
        <v>5157</v>
      </c>
      <c r="D8" s="109">
        <v>2905</v>
      </c>
      <c r="E8" s="166">
        <v>4723</v>
      </c>
      <c r="F8" s="166">
        <f>SUM(G8:I8)</f>
        <v>2439</v>
      </c>
      <c r="G8" s="166">
        <v>2439</v>
      </c>
      <c r="H8" s="166"/>
      <c r="I8" s="168"/>
    </row>
    <row r="9" spans="1:9" ht="21.95" customHeight="1" x14ac:dyDescent="0.25">
      <c r="A9" s="187" t="s">
        <v>140</v>
      </c>
      <c r="B9" s="188">
        <v>6605</v>
      </c>
      <c r="C9" s="188">
        <v>6274</v>
      </c>
      <c r="D9" s="189">
        <v>6222</v>
      </c>
      <c r="E9" s="190">
        <v>6225</v>
      </c>
      <c r="F9" s="190">
        <f>SUM(G9:I9)</f>
        <v>6605</v>
      </c>
      <c r="G9" s="190">
        <v>6605</v>
      </c>
      <c r="H9" s="190"/>
      <c r="I9" s="218"/>
    </row>
    <row r="10" spans="1:9" ht="21.9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0">SUM(H12)</f>
        <v>0</v>
      </c>
      <c r="I11" s="434">
        <f t="shared" si="0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>
        <f>SUM(G12:I12)</f>
        <v>0</v>
      </c>
      <c r="G12" s="189"/>
      <c r="H12" s="189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>SUM(G13:I13)</f>
        <v>0</v>
      </c>
      <c r="G13" s="433">
        <f>SUM(G14)</f>
        <v>0</v>
      </c>
      <c r="H13" s="433">
        <f t="shared" ref="H13:I13" si="1">SUM(H14)</f>
        <v>0</v>
      </c>
      <c r="I13" s="434">
        <f t="shared" si="1"/>
        <v>0</v>
      </c>
    </row>
    <row r="14" spans="1:9" ht="21.95" customHeight="1" x14ac:dyDescent="0.25">
      <c r="A14" s="196"/>
      <c r="B14" s="197"/>
      <c r="C14" s="197"/>
      <c r="D14" s="199"/>
      <c r="E14" s="199"/>
      <c r="F14" s="199"/>
      <c r="G14" s="199"/>
      <c r="H14" s="199"/>
      <c r="I14" s="200"/>
    </row>
    <row r="15" spans="1:9" ht="21.95" customHeight="1" x14ac:dyDescent="0.25">
      <c r="A15" s="431" t="s">
        <v>136</v>
      </c>
      <c r="B15" s="432"/>
      <c r="C15" s="432"/>
      <c r="D15" s="433"/>
      <c r="E15" s="433"/>
      <c r="F15" s="433">
        <f>SUM(G15:I15)</f>
        <v>60000</v>
      </c>
      <c r="G15" s="433">
        <f>SUM(G16:G18)</f>
        <v>60000</v>
      </c>
      <c r="H15" s="433">
        <f t="shared" ref="H15:I15" si="2">SUM(H16:H18)</f>
        <v>0</v>
      </c>
      <c r="I15" s="434">
        <f t="shared" si="2"/>
        <v>0</v>
      </c>
    </row>
    <row r="16" spans="1:9" ht="21.95" customHeight="1" x14ac:dyDescent="0.25">
      <c r="A16" s="187"/>
      <c r="B16" s="188"/>
      <c r="C16" s="188"/>
      <c r="D16" s="189"/>
      <c r="E16" s="189"/>
      <c r="F16" s="189">
        <f>SUM(G16:I16)</f>
        <v>0</v>
      </c>
      <c r="G16" s="189"/>
      <c r="H16" s="189"/>
      <c r="I16" s="194"/>
    </row>
    <row r="17" spans="1:9" ht="21.95" customHeight="1" x14ac:dyDescent="0.25">
      <c r="A17" s="164" t="s">
        <v>354</v>
      </c>
      <c r="B17" s="165"/>
      <c r="C17" s="165"/>
      <c r="D17" s="109"/>
      <c r="E17" s="109"/>
      <c r="F17" s="109">
        <f>SUM(G17:I17)</f>
        <v>60000</v>
      </c>
      <c r="G17" s="109">
        <v>60000</v>
      </c>
      <c r="H17" s="109"/>
      <c r="I17" s="125"/>
    </row>
    <row r="18" spans="1:9" ht="21.95" customHeight="1" thickBot="1" x14ac:dyDescent="0.3">
      <c r="A18" s="239"/>
      <c r="B18" s="240"/>
      <c r="C18" s="240"/>
      <c r="D18" s="241"/>
      <c r="E18" s="241"/>
      <c r="F18" s="146"/>
      <c r="G18" s="241"/>
      <c r="H18" s="241"/>
      <c r="I18" s="242"/>
    </row>
    <row r="19" spans="1:9" ht="21.95" customHeight="1" thickBot="1" x14ac:dyDescent="0.3">
      <c r="A19" s="428" t="s">
        <v>100</v>
      </c>
      <c r="B19" s="429" t="e">
        <f>B6+B11+B13</f>
        <v>#REF!</v>
      </c>
      <c r="C19" s="429" t="e">
        <f>C6+C11+C13</f>
        <v>#REF!</v>
      </c>
      <c r="D19" s="429" t="e">
        <f>D6+D11+D13</f>
        <v>#REF!</v>
      </c>
      <c r="E19" s="430" t="e">
        <f>E6+E11+E13</f>
        <v>#REF!</v>
      </c>
      <c r="F19" s="437">
        <f>F6+F11+F13+F15</f>
        <v>129619</v>
      </c>
      <c r="G19" s="437">
        <f>G6+G11+G13+G15</f>
        <v>129619</v>
      </c>
      <c r="H19" s="437">
        <f>H6+H11+H13+H15</f>
        <v>0</v>
      </c>
      <c r="I19" s="437">
        <f>I6+I11+I13+I15</f>
        <v>0</v>
      </c>
    </row>
    <row r="20" spans="1:9" ht="21.95" customHeight="1" x14ac:dyDescent="0.25"/>
    <row r="21" spans="1:9" ht="21.95" customHeight="1" x14ac:dyDescent="0.25">
      <c r="A21" s="156"/>
      <c r="B21" s="156"/>
      <c r="C21" s="156"/>
    </row>
    <row r="22" spans="1:9" ht="21.95" customHeight="1" x14ac:dyDescent="0.25"/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0.70866141732283472" bottom="0.55118110236220474" header="0.31496062992125984" footer="0.31496062992125984"/>
  <pageSetup fitToHeight="5" orientation="portrait" horizontalDpi="300" verticalDpi="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285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231"/>
      <c r="B5" s="232"/>
      <c r="C5" s="232"/>
      <c r="D5" s="173"/>
      <c r="E5" s="173"/>
      <c r="F5" s="173"/>
      <c r="G5" s="173"/>
      <c r="H5" s="173"/>
      <c r="I5" s="173"/>
    </row>
    <row r="6" spans="1:9" ht="21.95" customHeight="1" x14ac:dyDescent="0.25">
      <c r="A6" s="443" t="s">
        <v>15</v>
      </c>
      <c r="B6" s="441">
        <f>SUM(B7:B9)</f>
        <v>23900</v>
      </c>
      <c r="C6" s="441">
        <f>SUM(C7:C9)</f>
        <v>28410</v>
      </c>
      <c r="D6" s="441">
        <f>SUM(D7:D9)</f>
        <v>28136</v>
      </c>
      <c r="E6" s="441">
        <f>SUM(E7:E9)</f>
        <v>37040</v>
      </c>
      <c r="F6" s="441">
        <f>SUM(G6:I6)</f>
        <v>24000</v>
      </c>
      <c r="G6" s="441">
        <f>SUM(G7:G9)</f>
        <v>24000</v>
      </c>
      <c r="H6" s="441">
        <f>SUM(H7:H9)</f>
        <v>0</v>
      </c>
      <c r="I6" s="441">
        <f>SUM(I7:I9)</f>
        <v>0</v>
      </c>
    </row>
    <row r="7" spans="1:9" ht="21.95" customHeight="1" x14ac:dyDescent="0.25">
      <c r="A7" s="250" t="s">
        <v>138</v>
      </c>
      <c r="B7" s="251">
        <v>20857</v>
      </c>
      <c r="C7" s="251">
        <v>25405</v>
      </c>
      <c r="D7" s="237">
        <v>25096</v>
      </c>
      <c r="E7" s="244">
        <v>31616</v>
      </c>
      <c r="F7" s="251">
        <f>SUM(G7:I7)</f>
        <v>20957</v>
      </c>
      <c r="G7" s="251">
        <v>20957</v>
      </c>
      <c r="H7" s="251">
        <v>0</v>
      </c>
      <c r="I7" s="251">
        <v>0</v>
      </c>
    </row>
    <row r="8" spans="1:9" ht="21.95" customHeight="1" x14ac:dyDescent="0.25">
      <c r="A8" s="164" t="s">
        <v>139</v>
      </c>
      <c r="B8" s="165">
        <v>684</v>
      </c>
      <c r="C8" s="165">
        <v>675</v>
      </c>
      <c r="D8" s="109">
        <v>665</v>
      </c>
      <c r="E8" s="166">
        <v>625</v>
      </c>
      <c r="F8" s="165">
        <f>SUM(G8:I8)</f>
        <v>684</v>
      </c>
      <c r="G8" s="165">
        <v>684</v>
      </c>
      <c r="H8" s="165">
        <v>0</v>
      </c>
      <c r="I8" s="165">
        <v>0</v>
      </c>
    </row>
    <row r="9" spans="1:9" ht="21.95" customHeight="1" x14ac:dyDescent="0.25">
      <c r="A9" s="187" t="s">
        <v>140</v>
      </c>
      <c r="B9" s="188">
        <v>2359</v>
      </c>
      <c r="C9" s="188">
        <v>2330</v>
      </c>
      <c r="D9" s="189">
        <v>2375</v>
      </c>
      <c r="E9" s="190">
        <v>4799</v>
      </c>
      <c r="F9" s="188">
        <f>SUM(G9:I9)</f>
        <v>2359</v>
      </c>
      <c r="G9" s="188">
        <v>2359</v>
      </c>
      <c r="H9" s="188">
        <v>0</v>
      </c>
      <c r="I9" s="188">
        <v>0</v>
      </c>
    </row>
    <row r="10" spans="1:9" ht="21.95" customHeight="1" x14ac:dyDescent="0.25">
      <c r="A10" s="301"/>
      <c r="B10" s="302"/>
      <c r="C10" s="302"/>
      <c r="D10" s="241"/>
      <c r="E10" s="241"/>
      <c r="F10" s="241"/>
      <c r="G10" s="241"/>
      <c r="H10" s="241"/>
      <c r="I10" s="241"/>
    </row>
    <row r="11" spans="1:9" ht="21.95" customHeight="1" x14ac:dyDescent="0.25">
      <c r="A11" s="443" t="s">
        <v>141</v>
      </c>
      <c r="B11" s="444"/>
      <c r="C11" s="444"/>
      <c r="D11" s="441"/>
      <c r="E11" s="441"/>
      <c r="F11" s="441">
        <f>SUM(G11:I11)</f>
        <v>0</v>
      </c>
      <c r="G11" s="441">
        <f>SUM(G12)</f>
        <v>0</v>
      </c>
      <c r="H11" s="441">
        <f t="shared" ref="H11:I11" si="0">SUM(H12)</f>
        <v>0</v>
      </c>
      <c r="I11" s="441">
        <f t="shared" si="0"/>
        <v>0</v>
      </c>
    </row>
    <row r="12" spans="1:9" ht="21.95" customHeight="1" x14ac:dyDescent="0.25">
      <c r="A12" s="171"/>
      <c r="B12" s="172"/>
      <c r="C12" s="172"/>
      <c r="D12" s="173"/>
      <c r="E12" s="173"/>
      <c r="F12" s="173"/>
      <c r="G12" s="173"/>
      <c r="H12" s="173"/>
      <c r="I12" s="173"/>
    </row>
    <row r="13" spans="1:9" ht="21.95" customHeight="1" x14ac:dyDescent="0.25">
      <c r="A13" s="443" t="s">
        <v>142</v>
      </c>
      <c r="B13" s="441" t="e">
        <f>#REF!+#REF!+#REF!</f>
        <v>#REF!</v>
      </c>
      <c r="C13" s="441" t="e">
        <f>#REF!+#REF!+#REF!</f>
        <v>#REF!</v>
      </c>
      <c r="D13" s="441" t="e">
        <f>#REF!+#REF!+#REF!</f>
        <v>#REF!</v>
      </c>
      <c r="E13" s="441">
        <v>0</v>
      </c>
      <c r="F13" s="441">
        <f>SUM(G13:I13)</f>
        <v>0</v>
      </c>
      <c r="G13" s="441">
        <f>SUM(G14)</f>
        <v>0</v>
      </c>
      <c r="H13" s="441">
        <f t="shared" ref="H13:I13" si="1">SUM(H14)</f>
        <v>0</v>
      </c>
      <c r="I13" s="441">
        <f t="shared" si="1"/>
        <v>0</v>
      </c>
    </row>
    <row r="14" spans="1:9" ht="21.95" customHeight="1" x14ac:dyDescent="0.25">
      <c r="A14" s="303"/>
      <c r="B14" s="304"/>
      <c r="C14" s="304"/>
      <c r="D14" s="305"/>
      <c r="E14" s="305"/>
      <c r="F14" s="305"/>
      <c r="G14" s="305"/>
      <c r="H14" s="305"/>
      <c r="I14" s="305"/>
    </row>
    <row r="15" spans="1:9" ht="21.95" customHeight="1" x14ac:dyDescent="0.25">
      <c r="A15" s="443" t="s">
        <v>136</v>
      </c>
      <c r="B15" s="495"/>
      <c r="C15" s="495"/>
      <c r="D15" s="490"/>
      <c r="E15" s="490"/>
      <c r="F15" s="441">
        <f>SUM(G15:I15)</f>
        <v>0</v>
      </c>
      <c r="G15" s="441">
        <f>SUM(G16)</f>
        <v>0</v>
      </c>
      <c r="H15" s="441">
        <f t="shared" ref="H15:I15" si="2">SUM(H16)</f>
        <v>0</v>
      </c>
      <c r="I15" s="441">
        <f t="shared" si="2"/>
        <v>0</v>
      </c>
    </row>
    <row r="16" spans="1:9" ht="21.95" customHeight="1" thickBot="1" x14ac:dyDescent="0.3">
      <c r="A16" s="308"/>
      <c r="B16" s="309"/>
      <c r="C16" s="309"/>
      <c r="D16" s="310"/>
      <c r="E16" s="310"/>
      <c r="F16" s="310"/>
      <c r="G16" s="310"/>
      <c r="H16" s="310"/>
      <c r="I16" s="310"/>
    </row>
    <row r="17" spans="1:9" ht="21.95" customHeight="1" thickBot="1" x14ac:dyDescent="0.3">
      <c r="A17" s="428" t="s">
        <v>100</v>
      </c>
      <c r="B17" s="429" t="e">
        <f t="shared" ref="B17:E17" si="3">B6+B11+B13</f>
        <v>#REF!</v>
      </c>
      <c r="C17" s="429" t="e">
        <f t="shared" si="3"/>
        <v>#REF!</v>
      </c>
      <c r="D17" s="429" t="e">
        <f t="shared" si="3"/>
        <v>#REF!</v>
      </c>
      <c r="E17" s="430">
        <f t="shared" si="3"/>
        <v>37040</v>
      </c>
      <c r="F17" s="429">
        <f>F6+F11+F13+F15</f>
        <v>24000</v>
      </c>
      <c r="G17" s="429">
        <f>G6+G11+G13+G15</f>
        <v>24000</v>
      </c>
      <c r="H17" s="429">
        <f t="shared" ref="H17:I17" si="4">H6+H11+H13+H15</f>
        <v>0</v>
      </c>
      <c r="I17" s="429">
        <f t="shared" si="4"/>
        <v>0</v>
      </c>
    </row>
    <row r="18" spans="1:9" ht="21.95" customHeight="1" x14ac:dyDescent="0.25"/>
    <row r="19" spans="1:9" ht="21.95" customHeight="1" x14ac:dyDescent="0.25">
      <c r="A19" s="156"/>
      <c r="B19" s="156"/>
      <c r="C19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9055118110236221" right="0.31496062992125984" top="1.1023622047244095" bottom="0.55118110236220474" header="0.31496062992125984" footer="0.31496062992125984"/>
  <pageSetup fitToHeight="5" orientation="portrait" horizontalDpi="300" verticalDpi="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5.5703125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  <col min="7" max="7" width="12.7109375" bestFit="1" customWidth="1"/>
  </cols>
  <sheetData>
    <row r="1" spans="1:9" ht="21.95" customHeight="1" x14ac:dyDescent="0.25">
      <c r="A1" s="918" t="s">
        <v>271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409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311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55" t="s">
        <v>15</v>
      </c>
      <c r="B6" s="433">
        <f>SUM(B7:B9)</f>
        <v>335778</v>
      </c>
      <c r="C6" s="433">
        <f>SUM(C7:C9)</f>
        <v>439929</v>
      </c>
      <c r="D6" s="433">
        <f>SUM(D7:D9)</f>
        <v>437488</v>
      </c>
      <c r="E6" s="433">
        <f>SUM(E7:E9)</f>
        <v>479430</v>
      </c>
      <c r="F6" s="433">
        <f t="shared" ref="F6:F12" si="0">SUM(G6:I6)</f>
        <v>433491</v>
      </c>
      <c r="G6" s="433">
        <f>SUM(G7:G11)</f>
        <v>433491</v>
      </c>
      <c r="H6" s="433">
        <f>SUM(H7:H9)</f>
        <v>0</v>
      </c>
      <c r="I6" s="434">
        <f>SUM(I7:I9)</f>
        <v>0</v>
      </c>
    </row>
    <row r="7" spans="1:9" ht="21.95" customHeight="1" x14ac:dyDescent="0.25">
      <c r="A7" s="312" t="s">
        <v>138</v>
      </c>
      <c r="B7" s="188">
        <v>238985</v>
      </c>
      <c r="C7" s="188">
        <v>263925</v>
      </c>
      <c r="D7" s="189">
        <v>323244</v>
      </c>
      <c r="E7" s="190">
        <v>280252</v>
      </c>
      <c r="F7" s="190">
        <f t="shared" si="0"/>
        <v>293130</v>
      </c>
      <c r="G7" s="190">
        <f>427067-133937</f>
        <v>293130</v>
      </c>
      <c r="H7" s="190">
        <v>0</v>
      </c>
      <c r="I7" s="218">
        <v>0</v>
      </c>
    </row>
    <row r="8" spans="1:9" ht="21.95" customHeight="1" x14ac:dyDescent="0.25">
      <c r="A8" s="223" t="s">
        <v>139</v>
      </c>
      <c r="B8" s="165">
        <v>80134</v>
      </c>
      <c r="C8" s="165">
        <v>123784</v>
      </c>
      <c r="D8" s="109">
        <v>82025</v>
      </c>
      <c r="E8" s="166">
        <v>138604</v>
      </c>
      <c r="F8" s="166">
        <f t="shared" si="0"/>
        <v>77407</v>
      </c>
      <c r="G8" s="166">
        <f>136344-58937</f>
        <v>77407</v>
      </c>
      <c r="H8" s="166">
        <v>0</v>
      </c>
      <c r="I8" s="168">
        <v>0</v>
      </c>
    </row>
    <row r="9" spans="1:9" ht="21.95" customHeight="1" x14ac:dyDescent="0.25">
      <c r="A9" s="312" t="s">
        <v>140</v>
      </c>
      <c r="B9" s="188">
        <v>16659</v>
      </c>
      <c r="C9" s="188">
        <v>52220</v>
      </c>
      <c r="D9" s="189">
        <v>32219</v>
      </c>
      <c r="E9" s="190">
        <v>60574</v>
      </c>
      <c r="F9" s="190">
        <f t="shared" si="0"/>
        <v>62954</v>
      </c>
      <c r="G9" s="190">
        <v>62954</v>
      </c>
      <c r="H9" s="190">
        <v>0</v>
      </c>
      <c r="I9" s="218">
        <v>0</v>
      </c>
    </row>
    <row r="10" spans="1:9" ht="21.95" customHeight="1" x14ac:dyDescent="0.25">
      <c r="A10" s="312"/>
      <c r="B10" s="193"/>
      <c r="C10" s="193"/>
      <c r="D10" s="189"/>
      <c r="E10" s="189"/>
      <c r="F10" s="190"/>
      <c r="G10" s="189"/>
      <c r="H10" s="189"/>
      <c r="I10" s="194"/>
    </row>
    <row r="11" spans="1:9" ht="21.95" customHeight="1" x14ac:dyDescent="0.25">
      <c r="A11" s="312"/>
      <c r="B11" s="193"/>
      <c r="C11" s="193"/>
      <c r="D11" s="189"/>
      <c r="E11" s="189"/>
      <c r="F11" s="190"/>
      <c r="G11" s="189"/>
      <c r="H11" s="189"/>
      <c r="I11" s="194"/>
    </row>
    <row r="12" spans="1:9" ht="21.95" customHeight="1" x14ac:dyDescent="0.25">
      <c r="A12" s="455" t="s">
        <v>141</v>
      </c>
      <c r="B12" s="436"/>
      <c r="C12" s="436"/>
      <c r="D12" s="433"/>
      <c r="E12" s="433"/>
      <c r="F12" s="433">
        <f t="shared" si="0"/>
        <v>0</v>
      </c>
      <c r="G12" s="433">
        <f>SUM(G13)</f>
        <v>0</v>
      </c>
      <c r="H12" s="433">
        <f t="shared" ref="H12:I12" si="1">SUM(H13)</f>
        <v>0</v>
      </c>
      <c r="I12" s="434">
        <f t="shared" si="1"/>
        <v>0</v>
      </c>
    </row>
    <row r="13" spans="1:9" ht="21.95" customHeight="1" x14ac:dyDescent="0.25">
      <c r="A13" s="313"/>
      <c r="B13" s="197"/>
      <c r="C13" s="197"/>
      <c r="D13" s="189"/>
      <c r="E13" s="189"/>
      <c r="F13" s="189"/>
      <c r="G13" s="189"/>
      <c r="H13" s="189"/>
      <c r="I13" s="194"/>
    </row>
    <row r="14" spans="1:9" ht="21.95" customHeight="1" x14ac:dyDescent="0.25">
      <c r="A14" s="455" t="s">
        <v>142</v>
      </c>
      <c r="B14" s="433" t="e">
        <f>#REF!+#REF!+#REF!</f>
        <v>#REF!</v>
      </c>
      <c r="C14" s="433" t="e">
        <f>#REF!+#REF!+#REF!</f>
        <v>#REF!</v>
      </c>
      <c r="D14" s="433" t="e">
        <f>#REF!+#REF!+#REF!</f>
        <v>#REF!</v>
      </c>
      <c r="E14" s="433" t="e">
        <f>#REF!+#REF!+#REF!</f>
        <v>#REF!</v>
      </c>
      <c r="F14" s="433">
        <f>SUM(F15:F18)</f>
        <v>210282</v>
      </c>
      <c r="G14" s="433">
        <f>SUM(G15:G18)</f>
        <v>45000</v>
      </c>
      <c r="H14" s="433">
        <f>SUM(H15:H18)</f>
        <v>165282</v>
      </c>
      <c r="I14" s="434">
        <f>SUM(I15:I18)</f>
        <v>0</v>
      </c>
    </row>
    <row r="15" spans="1:9" ht="21.95" customHeight="1" x14ac:dyDescent="0.25">
      <c r="A15" s="280" t="s">
        <v>220</v>
      </c>
      <c r="B15" s="197"/>
      <c r="C15" s="197"/>
      <c r="D15" s="199"/>
      <c r="E15" s="199"/>
      <c r="F15" s="189">
        <f t="shared" ref="F15:F24" si="2">SUM(G15:I15)</f>
        <v>165282</v>
      </c>
      <c r="G15" s="189"/>
      <c r="H15" s="189">
        <f>'Ingresos Totales 2'!H38</f>
        <v>165282</v>
      </c>
      <c r="I15" s="194"/>
    </row>
    <row r="16" spans="1:9" ht="21.95" customHeight="1" x14ac:dyDescent="0.25">
      <c r="A16" s="314" t="s">
        <v>231</v>
      </c>
      <c r="B16" s="307"/>
      <c r="C16" s="307"/>
      <c r="D16" s="108"/>
      <c r="E16" s="108"/>
      <c r="F16" s="109">
        <f t="shared" si="2"/>
        <v>45000</v>
      </c>
      <c r="G16" s="198">
        <v>45000</v>
      </c>
      <c r="H16" s="109"/>
      <c r="I16" s="125"/>
    </row>
    <row r="17" spans="1:9" ht="21.95" customHeight="1" x14ac:dyDescent="0.25">
      <c r="A17" s="223"/>
      <c r="B17" s="165">
        <v>43000</v>
      </c>
      <c r="C17" s="165">
        <v>4332</v>
      </c>
      <c r="D17" s="109">
        <v>43000</v>
      </c>
      <c r="E17" s="109">
        <v>7341</v>
      </c>
      <c r="F17" s="109">
        <f t="shared" si="2"/>
        <v>0</v>
      </c>
      <c r="G17" s="109"/>
      <c r="H17" s="109"/>
      <c r="I17" s="125"/>
    </row>
    <row r="18" spans="1:9" ht="21.95" customHeight="1" x14ac:dyDescent="0.25">
      <c r="A18" s="316"/>
      <c r="B18" s="216"/>
      <c r="C18" s="216"/>
      <c r="D18" s="198">
        <v>152145</v>
      </c>
      <c r="E18" s="198"/>
      <c r="F18" s="198"/>
      <c r="G18" s="198"/>
      <c r="H18" s="198"/>
      <c r="I18" s="226"/>
    </row>
    <row r="19" spans="1:9" ht="21.95" customHeight="1" x14ac:dyDescent="0.25">
      <c r="A19" s="454" t="s">
        <v>136</v>
      </c>
      <c r="B19" s="432"/>
      <c r="C19" s="432"/>
      <c r="D19" s="433"/>
      <c r="E19" s="433"/>
      <c r="F19" s="433">
        <f t="shared" si="2"/>
        <v>72630</v>
      </c>
      <c r="G19" s="433">
        <f>SUM(G20:G24)</f>
        <v>72630</v>
      </c>
      <c r="H19" s="433">
        <f>SUM(H21:H24)</f>
        <v>0</v>
      </c>
      <c r="I19" s="434">
        <f>SUM(I21:I24)</f>
        <v>0</v>
      </c>
    </row>
    <row r="20" spans="1:9" ht="21.95" customHeight="1" x14ac:dyDescent="0.25">
      <c r="A20" s="223" t="s">
        <v>333</v>
      </c>
      <c r="B20" s="228"/>
      <c r="C20" s="228"/>
      <c r="D20" s="108"/>
      <c r="E20" s="108"/>
      <c r="F20" s="109">
        <f>SUM(G20:I20)</f>
        <v>25000</v>
      </c>
      <c r="G20" s="109">
        <v>25000</v>
      </c>
      <c r="H20" s="108"/>
      <c r="I20" s="229"/>
    </row>
    <row r="21" spans="1:9" ht="21.95" customHeight="1" x14ac:dyDescent="0.25">
      <c r="A21" s="280" t="s">
        <v>183</v>
      </c>
      <c r="B21" s="197"/>
      <c r="C21" s="197"/>
      <c r="D21" s="189"/>
      <c r="E21" s="189"/>
      <c r="F21" s="189">
        <f t="shared" si="2"/>
        <v>43459</v>
      </c>
      <c r="G21" s="189">
        <f>'Ingr Propios 3'!F21</f>
        <v>43459</v>
      </c>
      <c r="H21" s="189">
        <v>0</v>
      </c>
      <c r="I21" s="194">
        <v>0</v>
      </c>
    </row>
    <row r="22" spans="1:9" ht="21.95" customHeight="1" x14ac:dyDescent="0.25">
      <c r="A22" s="281" t="s">
        <v>184</v>
      </c>
      <c r="B22" s="197"/>
      <c r="C22" s="197"/>
      <c r="D22" s="189"/>
      <c r="E22" s="189"/>
      <c r="F22" s="189">
        <f t="shared" si="2"/>
        <v>1171</v>
      </c>
      <c r="G22" s="189">
        <f>'Ingr Propios 3'!F35</f>
        <v>1171</v>
      </c>
      <c r="H22" s="189"/>
      <c r="I22" s="194"/>
    </row>
    <row r="23" spans="1:9" ht="21.95" customHeight="1" x14ac:dyDescent="0.25">
      <c r="A23" s="317" t="s">
        <v>185</v>
      </c>
      <c r="B23" s="216">
        <v>43000</v>
      </c>
      <c r="C23" s="216">
        <v>4332</v>
      </c>
      <c r="D23" s="198">
        <v>43000</v>
      </c>
      <c r="E23" s="198">
        <v>7341</v>
      </c>
      <c r="F23" s="189">
        <f t="shared" si="2"/>
        <v>0</v>
      </c>
      <c r="G23" s="318">
        <v>0</v>
      </c>
      <c r="H23" s="318">
        <v>0</v>
      </c>
      <c r="I23" s="319">
        <v>0</v>
      </c>
    </row>
    <row r="24" spans="1:9" ht="21.95" customHeight="1" x14ac:dyDescent="0.25">
      <c r="A24" s="446" t="s">
        <v>270</v>
      </c>
      <c r="B24" s="447"/>
      <c r="C24" s="447"/>
      <c r="D24" s="448"/>
      <c r="E24" s="448"/>
      <c r="F24" s="189">
        <f t="shared" si="2"/>
        <v>3000</v>
      </c>
      <c r="G24" s="449">
        <v>3000</v>
      </c>
      <c r="H24" s="449"/>
      <c r="I24" s="450"/>
    </row>
    <row r="25" spans="1:9" ht="21.95" customHeight="1" x14ac:dyDescent="0.25">
      <c r="A25" s="446"/>
      <c r="B25" s="447"/>
      <c r="C25" s="447"/>
      <c r="D25" s="448"/>
      <c r="E25" s="448"/>
      <c r="F25" s="241"/>
      <c r="G25" s="449"/>
      <c r="H25" s="449"/>
      <c r="I25" s="450"/>
    </row>
    <row r="26" spans="1:9" ht="21.95" customHeight="1" thickBot="1" x14ac:dyDescent="0.3">
      <c r="A26" s="451" t="s">
        <v>100</v>
      </c>
      <c r="B26" s="452" t="e">
        <f>B6+B12+B14</f>
        <v>#REF!</v>
      </c>
      <c r="C26" s="452" t="e">
        <f>C6+C12+C14</f>
        <v>#REF!</v>
      </c>
      <c r="D26" s="452" t="e">
        <f>D6+D12+D14</f>
        <v>#REF!</v>
      </c>
      <c r="E26" s="452" t="e">
        <f>E6+E12+E14</f>
        <v>#REF!</v>
      </c>
      <c r="F26" s="452">
        <f>F6+F12+F14+F19</f>
        <v>716403</v>
      </c>
      <c r="G26" s="452">
        <f>G6+G12+G14+G19</f>
        <v>551121</v>
      </c>
      <c r="H26" s="452">
        <f>H6+H12+H14+H19</f>
        <v>165282</v>
      </c>
      <c r="I26" s="453">
        <f>I6+I12+I14+I19</f>
        <v>0</v>
      </c>
    </row>
    <row r="27" spans="1:9" ht="21.95" customHeight="1" x14ac:dyDescent="0.25"/>
    <row r="28" spans="1:9" ht="15.75" customHeight="1" x14ac:dyDescent="0.25">
      <c r="A28" s="156"/>
      <c r="B28" s="156"/>
      <c r="C28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11" ht="21.95" customHeight="1" x14ac:dyDescent="0.25">
      <c r="A1" s="918" t="s">
        <v>123</v>
      </c>
      <c r="B1" s="919"/>
      <c r="C1" s="919"/>
      <c r="D1" s="919"/>
      <c r="E1" s="919"/>
      <c r="F1" s="919"/>
      <c r="G1" s="919"/>
      <c r="H1" s="919"/>
      <c r="I1" s="920"/>
    </row>
    <row r="2" spans="1:11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11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11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409" t="s">
        <v>5</v>
      </c>
      <c r="G4" s="95" t="s">
        <v>6</v>
      </c>
      <c r="H4" s="95" t="s">
        <v>7</v>
      </c>
      <c r="I4" s="95" t="s">
        <v>8</v>
      </c>
    </row>
    <row r="5" spans="1:11" ht="21.95" customHeight="1" x14ac:dyDescent="0.25">
      <c r="A5" s="118"/>
      <c r="B5" s="119"/>
      <c r="C5" s="119"/>
      <c r="D5" s="120"/>
      <c r="E5" s="120"/>
      <c r="F5" s="120"/>
      <c r="G5" s="120"/>
      <c r="H5" s="120"/>
      <c r="I5" s="122"/>
      <c r="K5" s="633"/>
    </row>
    <row r="6" spans="1:11" ht="21.95" customHeight="1" x14ac:dyDescent="0.25">
      <c r="A6" s="435" t="s">
        <v>15</v>
      </c>
      <c r="B6" s="433">
        <f>SUM(B7:B9)</f>
        <v>13314</v>
      </c>
      <c r="C6" s="433">
        <f>SUM(C7:C9)</f>
        <v>12739</v>
      </c>
      <c r="D6" s="433">
        <f>SUM(D7:D9)</f>
        <v>13991</v>
      </c>
      <c r="E6" s="433">
        <f>SUM(E7:E9)</f>
        <v>15750</v>
      </c>
      <c r="F6" s="433">
        <f>SUM(G6:I6)</f>
        <v>15714</v>
      </c>
      <c r="G6" s="433">
        <f>SUM(G7:G10)</f>
        <v>15714</v>
      </c>
      <c r="H6" s="433">
        <f>SUM(H7:H9)</f>
        <v>0</v>
      </c>
      <c r="I6" s="434">
        <f>SUM(I7:I9)</f>
        <v>0</v>
      </c>
      <c r="K6" s="650"/>
    </row>
    <row r="7" spans="1:11" ht="21.95" customHeight="1" x14ac:dyDescent="0.25">
      <c r="A7" s="187" t="s">
        <v>138</v>
      </c>
      <c r="B7" s="188">
        <v>11417</v>
      </c>
      <c r="C7" s="188">
        <v>11213</v>
      </c>
      <c r="D7" s="189">
        <v>12048</v>
      </c>
      <c r="E7" s="190">
        <v>13998</v>
      </c>
      <c r="F7" s="188">
        <f>SUM(G7:I7)</f>
        <v>13817</v>
      </c>
      <c r="G7" s="188">
        <v>13817</v>
      </c>
      <c r="H7" s="188"/>
      <c r="I7" s="191"/>
      <c r="K7" s="650"/>
    </row>
    <row r="8" spans="1:11" ht="21.95" customHeight="1" x14ac:dyDescent="0.25">
      <c r="A8" s="164" t="s">
        <v>139</v>
      </c>
      <c r="B8" s="165">
        <v>702</v>
      </c>
      <c r="C8" s="165">
        <v>691</v>
      </c>
      <c r="D8" s="109">
        <v>715</v>
      </c>
      <c r="E8" s="166">
        <v>724</v>
      </c>
      <c r="F8" s="165">
        <f>SUM(G8:I8)</f>
        <v>702</v>
      </c>
      <c r="G8" s="165">
        <v>702</v>
      </c>
      <c r="H8" s="165"/>
      <c r="I8" s="167"/>
      <c r="K8" s="650"/>
    </row>
    <row r="9" spans="1:11" ht="21.95" customHeight="1" x14ac:dyDescent="0.25">
      <c r="A9" s="187" t="s">
        <v>140</v>
      </c>
      <c r="B9" s="188">
        <v>1195</v>
      </c>
      <c r="C9" s="188">
        <v>835</v>
      </c>
      <c r="D9" s="189">
        <v>1228</v>
      </c>
      <c r="E9" s="190">
        <v>1028</v>
      </c>
      <c r="F9" s="188">
        <f>SUM(G9:I9)</f>
        <v>1195</v>
      </c>
      <c r="G9" s="188">
        <v>1195</v>
      </c>
      <c r="H9" s="188"/>
      <c r="I9" s="191"/>
      <c r="K9" s="650"/>
    </row>
    <row r="10" spans="1:11" ht="21.95" customHeight="1" x14ac:dyDescent="0.25">
      <c r="A10" s="187"/>
      <c r="B10" s="193"/>
      <c r="C10" s="193"/>
      <c r="D10" s="189"/>
      <c r="E10" s="189"/>
      <c r="F10" s="189"/>
      <c r="G10" s="189"/>
      <c r="H10" s="189"/>
      <c r="I10" s="194"/>
      <c r="K10" s="650"/>
    </row>
    <row r="11" spans="1:11" ht="21.95" customHeight="1" x14ac:dyDescent="0.25">
      <c r="A11" s="435" t="s">
        <v>141</v>
      </c>
      <c r="B11" s="436"/>
      <c r="C11" s="436"/>
      <c r="D11" s="433"/>
      <c r="E11" s="433"/>
      <c r="F11" s="433"/>
      <c r="G11" s="433"/>
      <c r="H11" s="433"/>
      <c r="I11" s="434"/>
      <c r="K11" s="650"/>
    </row>
    <row r="12" spans="1:11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  <c r="K12" s="633"/>
    </row>
    <row r="13" spans="1:11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>
        <v>0</v>
      </c>
      <c r="F13" s="433">
        <f>SUM(G13:I13)</f>
        <v>0</v>
      </c>
      <c r="G13" s="433"/>
      <c r="H13" s="433"/>
      <c r="I13" s="434"/>
      <c r="K13" s="633"/>
    </row>
    <row r="14" spans="1:11" ht="21.95" customHeight="1" x14ac:dyDescent="0.25">
      <c r="A14" s="196"/>
      <c r="B14" s="197"/>
      <c r="C14" s="197"/>
      <c r="D14" s="199"/>
      <c r="E14" s="199"/>
      <c r="F14" s="199"/>
      <c r="G14" s="199"/>
      <c r="H14" s="199"/>
      <c r="I14" s="200"/>
    </row>
    <row r="15" spans="1:11" ht="21.95" customHeight="1" x14ac:dyDescent="0.25">
      <c r="A15" s="431" t="s">
        <v>136</v>
      </c>
      <c r="B15" s="432"/>
      <c r="C15" s="432"/>
      <c r="D15" s="433"/>
      <c r="E15" s="433"/>
      <c r="F15" s="433">
        <f>SUM(G15:I15)</f>
        <v>2047</v>
      </c>
      <c r="G15" s="433">
        <f>SUM(G16)</f>
        <v>2047</v>
      </c>
      <c r="H15" s="433">
        <f>SUM(H16)</f>
        <v>0</v>
      </c>
      <c r="I15" s="434">
        <f>SUM(I16)</f>
        <v>0</v>
      </c>
    </row>
    <row r="16" spans="1:11" ht="21.95" customHeight="1" thickBot="1" x14ac:dyDescent="0.3">
      <c r="A16" s="131" t="s">
        <v>221</v>
      </c>
      <c r="B16" s="214"/>
      <c r="C16" s="214"/>
      <c r="D16" s="132"/>
      <c r="E16" s="132"/>
      <c r="F16" s="132">
        <f>SUM(G16:I16)</f>
        <v>2047</v>
      </c>
      <c r="G16" s="132">
        <v>2047</v>
      </c>
      <c r="H16" s="132"/>
      <c r="I16" s="135"/>
    </row>
    <row r="17" spans="1:9" ht="21.95" customHeight="1" thickBot="1" x14ac:dyDescent="0.3">
      <c r="A17" s="428" t="s">
        <v>100</v>
      </c>
      <c r="B17" s="429" t="e">
        <f>B6+B11+B13</f>
        <v>#REF!</v>
      </c>
      <c r="C17" s="429" t="e">
        <f>C6+C11+C13</f>
        <v>#REF!</v>
      </c>
      <c r="D17" s="429" t="e">
        <f>D6+D11+D13</f>
        <v>#REF!</v>
      </c>
      <c r="E17" s="430">
        <f>E6+E11+E13</f>
        <v>15750</v>
      </c>
      <c r="F17" s="437">
        <f>F6+F11+F13+F15</f>
        <v>17761</v>
      </c>
      <c r="G17" s="437">
        <f>G6+G11+G13+G15</f>
        <v>17761</v>
      </c>
      <c r="H17" s="437">
        <f>H6+H11+H13+H15</f>
        <v>0</v>
      </c>
      <c r="I17" s="437">
        <f>I6+I11+I13+I15</f>
        <v>0</v>
      </c>
    </row>
    <row r="18" spans="1:9" ht="21.95" customHeight="1" x14ac:dyDescent="0.25"/>
    <row r="19" spans="1:9" ht="21.95" customHeight="1" x14ac:dyDescent="0.25">
      <c r="A19" s="156"/>
      <c r="B19" s="156"/>
      <c r="C19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8.85546875" customWidth="1"/>
    <col min="2" max="5" width="11.42578125" customWidth="1"/>
  </cols>
  <sheetData>
    <row r="1" spans="1:5" ht="21.95" customHeight="1" x14ac:dyDescent="0.25">
      <c r="A1" s="918" t="s">
        <v>272</v>
      </c>
      <c r="B1" s="919"/>
      <c r="C1" s="919"/>
      <c r="D1" s="919"/>
      <c r="E1" s="920"/>
    </row>
    <row r="2" spans="1:5" ht="21.95" customHeight="1" thickBot="1" x14ac:dyDescent="0.3">
      <c r="A2" s="922" t="s">
        <v>0</v>
      </c>
      <c r="B2" s="923"/>
      <c r="C2" s="923"/>
      <c r="D2" s="923"/>
      <c r="E2" s="924"/>
    </row>
    <row r="3" spans="1:5" ht="21.95" customHeight="1" thickBot="1" x14ac:dyDescent="0.3">
      <c r="A3" s="894" t="s">
        <v>1</v>
      </c>
      <c r="B3" s="898" t="s">
        <v>343</v>
      </c>
      <c r="C3" s="899"/>
      <c r="D3" s="899"/>
      <c r="E3" s="900"/>
    </row>
    <row r="4" spans="1:5" ht="21.95" customHeight="1" thickBot="1" x14ac:dyDescent="0.3">
      <c r="A4" s="895"/>
      <c r="B4" s="72" t="s">
        <v>5</v>
      </c>
      <c r="C4" s="95" t="s">
        <v>6</v>
      </c>
      <c r="D4" s="95" t="s">
        <v>7</v>
      </c>
      <c r="E4" s="95" t="s">
        <v>8</v>
      </c>
    </row>
    <row r="5" spans="1:5" ht="21.95" customHeight="1" x14ac:dyDescent="0.25">
      <c r="A5" s="320"/>
      <c r="B5" s="321"/>
      <c r="C5" s="321"/>
      <c r="D5" s="321"/>
      <c r="E5" s="322"/>
    </row>
    <row r="6" spans="1:5" ht="21.95" customHeight="1" x14ac:dyDescent="0.25">
      <c r="A6" s="455" t="s">
        <v>15</v>
      </c>
      <c r="B6" s="433">
        <f t="shared" ref="B6:B14" si="0">SUM(C6:E6)</f>
        <v>17578</v>
      </c>
      <c r="C6" s="433">
        <f>SUM(C7:C9)</f>
        <v>17578</v>
      </c>
      <c r="D6" s="433">
        <f>SUM(D7:D9)</f>
        <v>0</v>
      </c>
      <c r="E6" s="434">
        <f>SUM(E7:E9)</f>
        <v>0</v>
      </c>
    </row>
    <row r="7" spans="1:5" ht="21.95" customHeight="1" x14ac:dyDescent="0.25">
      <c r="A7" s="312" t="s">
        <v>138</v>
      </c>
      <c r="B7" s="109">
        <f t="shared" si="0"/>
        <v>14193</v>
      </c>
      <c r="C7" s="109">
        <v>14193</v>
      </c>
      <c r="D7" s="109">
        <v>0</v>
      </c>
      <c r="E7" s="125">
        <v>0</v>
      </c>
    </row>
    <row r="8" spans="1:5" ht="21.95" customHeight="1" x14ac:dyDescent="0.25">
      <c r="A8" s="223" t="s">
        <v>139</v>
      </c>
      <c r="B8" s="109">
        <f t="shared" si="0"/>
        <v>1055</v>
      </c>
      <c r="C8" s="109">
        <v>1055</v>
      </c>
      <c r="D8" s="109">
        <v>0</v>
      </c>
      <c r="E8" s="125">
        <v>0</v>
      </c>
    </row>
    <row r="9" spans="1:5" ht="21.95" customHeight="1" x14ac:dyDescent="0.25">
      <c r="A9" s="312" t="s">
        <v>140</v>
      </c>
      <c r="B9" s="109">
        <f t="shared" si="0"/>
        <v>2330</v>
      </c>
      <c r="C9" s="109">
        <v>2330</v>
      </c>
      <c r="D9" s="109">
        <v>0</v>
      </c>
      <c r="E9" s="125">
        <v>0</v>
      </c>
    </row>
    <row r="10" spans="1:5" ht="21.95" customHeight="1" x14ac:dyDescent="0.25">
      <c r="A10" s="323"/>
      <c r="B10" s="189"/>
      <c r="C10" s="189"/>
      <c r="D10" s="189"/>
      <c r="E10" s="194"/>
    </row>
    <row r="11" spans="1:5" ht="21.95" customHeight="1" x14ac:dyDescent="0.25">
      <c r="A11" s="455" t="s">
        <v>141</v>
      </c>
      <c r="B11" s="433">
        <f t="shared" si="0"/>
        <v>0</v>
      </c>
      <c r="C11" s="433">
        <f>SUM(C12)</f>
        <v>0</v>
      </c>
      <c r="D11" s="433">
        <f t="shared" ref="D11:E11" si="1">SUM(D12)</f>
        <v>0</v>
      </c>
      <c r="E11" s="434">
        <f t="shared" si="1"/>
        <v>0</v>
      </c>
    </row>
    <row r="12" spans="1:5" ht="21.95" customHeight="1" x14ac:dyDescent="0.25">
      <c r="A12" s="313"/>
      <c r="B12" s="189">
        <f t="shared" si="0"/>
        <v>0</v>
      </c>
      <c r="C12" s="189"/>
      <c r="D12" s="189"/>
      <c r="E12" s="194"/>
    </row>
    <row r="13" spans="1:5" ht="21.95" customHeight="1" x14ac:dyDescent="0.25">
      <c r="A13" s="455" t="s">
        <v>142</v>
      </c>
      <c r="B13" s="433">
        <f t="shared" si="0"/>
        <v>10300</v>
      </c>
      <c r="C13" s="433">
        <f>SUM(C14:C17)</f>
        <v>10300</v>
      </c>
      <c r="D13" s="433">
        <f>SUM(D14:D17)</f>
        <v>0</v>
      </c>
      <c r="E13" s="434">
        <f>SUM(E14:E17)</f>
        <v>0</v>
      </c>
    </row>
    <row r="14" spans="1:5" ht="21.95" customHeight="1" x14ac:dyDescent="0.25">
      <c r="A14" s="324" t="s">
        <v>231</v>
      </c>
      <c r="B14" s="198">
        <f t="shared" si="0"/>
        <v>10300</v>
      </c>
      <c r="C14" s="198">
        <v>10300</v>
      </c>
      <c r="D14" s="198">
        <v>0</v>
      </c>
      <c r="E14" s="226"/>
    </row>
    <row r="15" spans="1:5" ht="21.95" customHeight="1" x14ac:dyDescent="0.25">
      <c r="A15" s="539"/>
      <c r="B15" s="528"/>
      <c r="C15" s="528"/>
      <c r="D15" s="528"/>
      <c r="E15" s="194"/>
    </row>
    <row r="16" spans="1:5" ht="21.95" customHeight="1" x14ac:dyDescent="0.25">
      <c r="A16" s="539"/>
      <c r="B16" s="528"/>
      <c r="C16" s="528"/>
      <c r="D16" s="528"/>
      <c r="E16" s="194"/>
    </row>
    <row r="17" spans="1:7" ht="21.95" customHeight="1" x14ac:dyDescent="0.25">
      <c r="A17" s="539"/>
      <c r="B17" s="528"/>
      <c r="C17" s="528"/>
      <c r="D17" s="528"/>
      <c r="E17" s="194"/>
    </row>
    <row r="18" spans="1:7" ht="21.95" customHeight="1" x14ac:dyDescent="0.25">
      <c r="A18" s="454" t="s">
        <v>136</v>
      </c>
      <c r="B18" s="433">
        <f>SUM(C18:E18)</f>
        <v>32928.25</v>
      </c>
      <c r="C18" s="433">
        <f>SUM(C19:C22)</f>
        <v>32928.25</v>
      </c>
      <c r="D18" s="433">
        <f t="shared" ref="D18:E18" si="2">SUM(D19:D22)</f>
        <v>0</v>
      </c>
      <c r="E18" s="434">
        <f t="shared" si="2"/>
        <v>0</v>
      </c>
    </row>
    <row r="19" spans="1:7" ht="21.95" customHeight="1" x14ac:dyDescent="0.25">
      <c r="A19" s="312" t="s">
        <v>222</v>
      </c>
      <c r="B19" s="189">
        <f>SUM(C19:E19)</f>
        <v>1500</v>
      </c>
      <c r="C19" s="189">
        <v>1500</v>
      </c>
      <c r="D19" s="189"/>
      <c r="E19" s="194"/>
    </row>
    <row r="20" spans="1:7" ht="21.95" customHeight="1" x14ac:dyDescent="0.25">
      <c r="A20" s="223" t="s">
        <v>223</v>
      </c>
      <c r="B20" s="109">
        <f>SUM(C20:E20)</f>
        <v>698</v>
      </c>
      <c r="C20" s="109">
        <v>698</v>
      </c>
      <c r="D20" s="109"/>
      <c r="E20" s="125"/>
    </row>
    <row r="21" spans="1:7" ht="21.95" customHeight="1" x14ac:dyDescent="0.25">
      <c r="A21" s="325" t="s">
        <v>224</v>
      </c>
      <c r="B21" s="189">
        <f>SUM(C21:E21)</f>
        <v>25730.25</v>
      </c>
      <c r="C21" s="189">
        <f>('Ingr Propios 3'!F7+'Ingr Propios 3'!F9)*1.95</f>
        <v>25730.25</v>
      </c>
      <c r="D21" s="189"/>
      <c r="E21" s="194"/>
    </row>
    <row r="22" spans="1:7" ht="21.95" customHeight="1" thickBot="1" x14ac:dyDescent="0.3">
      <c r="A22" s="326" t="s">
        <v>225</v>
      </c>
      <c r="B22" s="132">
        <f>SUM(C22:E22)</f>
        <v>5000</v>
      </c>
      <c r="C22" s="206">
        <v>5000</v>
      </c>
      <c r="D22" s="206"/>
      <c r="E22" s="207"/>
    </row>
    <row r="23" spans="1:7" ht="21.95" customHeight="1" thickBot="1" x14ac:dyDescent="0.3">
      <c r="A23" s="428" t="s">
        <v>100</v>
      </c>
      <c r="B23" s="437">
        <f>B6+B11+B13+B18</f>
        <v>60806.25</v>
      </c>
      <c r="C23" s="437">
        <f>C6+C11+C13+C18</f>
        <v>60806.25</v>
      </c>
      <c r="D23" s="437">
        <f>D6+D11+D13+D18</f>
        <v>0</v>
      </c>
      <c r="E23" s="437">
        <f>E6+E11+E13+E18</f>
        <v>0</v>
      </c>
    </row>
    <row r="24" spans="1:7" ht="21.95" customHeight="1" x14ac:dyDescent="0.25">
      <c r="G24" t="s">
        <v>177</v>
      </c>
    </row>
    <row r="25" spans="1:7" ht="21.95" customHeight="1" x14ac:dyDescent="0.25">
      <c r="A25" s="156"/>
    </row>
  </sheetData>
  <mergeCells count="4">
    <mergeCell ref="A1:E1"/>
    <mergeCell ref="A3:A4"/>
    <mergeCell ref="B3:E3"/>
    <mergeCell ref="A2:E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5.5703125" customWidth="1"/>
    <col min="2" max="2" width="13.140625" hidden="1" customWidth="1"/>
    <col min="3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273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4"/>
      <c r="B4" s="328" t="s">
        <v>3</v>
      </c>
      <c r="C4" s="329" t="s">
        <v>4</v>
      </c>
      <c r="D4" s="328" t="s">
        <v>3</v>
      </c>
      <c r="E4" s="329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7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75" customHeight="1" x14ac:dyDescent="0.25">
      <c r="A6" s="435" t="s">
        <v>15</v>
      </c>
      <c r="B6" s="433">
        <f>SUM(B7:B9)</f>
        <v>14859</v>
      </c>
      <c r="C6" s="433">
        <f>SUM(C7:C9)</f>
        <v>23577</v>
      </c>
      <c r="D6" s="433">
        <f>SUM(D7:D9)</f>
        <v>26146</v>
      </c>
      <c r="E6" s="433">
        <f>SUM(E7:E9)</f>
        <v>27762</v>
      </c>
      <c r="F6" s="433">
        <f>SUM(G6:I6)</f>
        <v>23577</v>
      </c>
      <c r="G6" s="433">
        <f>SUM(G7:G9)</f>
        <v>23577</v>
      </c>
      <c r="H6" s="433">
        <f>SUM(H7:H9)</f>
        <v>0</v>
      </c>
      <c r="I6" s="434">
        <f>SUM(I7:I9)</f>
        <v>0</v>
      </c>
    </row>
    <row r="7" spans="1:9" ht="21.75" customHeight="1" x14ac:dyDescent="0.25">
      <c r="A7" s="187" t="s">
        <v>138</v>
      </c>
      <c r="B7" s="188">
        <v>11749</v>
      </c>
      <c r="C7" s="188">
        <v>20092</v>
      </c>
      <c r="D7" s="189">
        <v>22098</v>
      </c>
      <c r="E7" s="190">
        <v>23854</v>
      </c>
      <c r="F7" s="188">
        <f>SUM(G7:I7)</f>
        <v>20092</v>
      </c>
      <c r="G7" s="188">
        <v>20092</v>
      </c>
      <c r="H7" s="188">
        <v>0</v>
      </c>
      <c r="I7" s="191">
        <v>0</v>
      </c>
    </row>
    <row r="8" spans="1:9" ht="21.75" customHeight="1" x14ac:dyDescent="0.25">
      <c r="A8" s="164" t="s">
        <v>139</v>
      </c>
      <c r="B8" s="165">
        <v>390</v>
      </c>
      <c r="C8" s="165">
        <v>514</v>
      </c>
      <c r="D8" s="109">
        <v>759</v>
      </c>
      <c r="E8" s="166">
        <v>592</v>
      </c>
      <c r="F8" s="165">
        <f>SUM(G8:I8)</f>
        <v>514</v>
      </c>
      <c r="G8" s="165">
        <v>514</v>
      </c>
      <c r="H8" s="165">
        <v>0</v>
      </c>
      <c r="I8" s="167">
        <v>0</v>
      </c>
    </row>
    <row r="9" spans="1:9" ht="21.75" customHeight="1" x14ac:dyDescent="0.25">
      <c r="A9" s="187" t="s">
        <v>140</v>
      </c>
      <c r="B9" s="188">
        <v>2720</v>
      </c>
      <c r="C9" s="188">
        <v>2971</v>
      </c>
      <c r="D9" s="189">
        <v>3289</v>
      </c>
      <c r="E9" s="190">
        <v>3316</v>
      </c>
      <c r="F9" s="188">
        <f>SUM(G9:I9)</f>
        <v>2971</v>
      </c>
      <c r="G9" s="188">
        <v>2971</v>
      </c>
      <c r="H9" s="188">
        <v>0</v>
      </c>
      <c r="I9" s="191">
        <v>0</v>
      </c>
    </row>
    <row r="10" spans="1:9" ht="21.7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9" ht="21.7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0">SUM(H12)</f>
        <v>0</v>
      </c>
      <c r="I11" s="434">
        <f t="shared" si="0"/>
        <v>0</v>
      </c>
    </row>
    <row r="12" spans="1:9" ht="21.7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9" ht="21.7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 t="shared" ref="F13:F20" si="1">SUM(G13:I13)</f>
        <v>53499</v>
      </c>
      <c r="G13" s="433">
        <f>SUM(G14:G16)</f>
        <v>53499</v>
      </c>
      <c r="H13" s="433">
        <f>SUM(H14:H14)</f>
        <v>0</v>
      </c>
      <c r="I13" s="434">
        <f>SUM(I14:I14)</f>
        <v>0</v>
      </c>
    </row>
    <row r="14" spans="1:9" ht="21.75" customHeight="1" x14ac:dyDescent="0.25">
      <c r="A14" s="540" t="s">
        <v>352</v>
      </c>
      <c r="B14" s="541"/>
      <c r="C14" s="541"/>
      <c r="D14" s="528"/>
      <c r="E14" s="528"/>
      <c r="F14" s="528">
        <f t="shared" si="1"/>
        <v>50000</v>
      </c>
      <c r="G14" s="528">
        <v>50000</v>
      </c>
      <c r="H14" s="528">
        <v>0</v>
      </c>
      <c r="I14" s="529">
        <v>0</v>
      </c>
    </row>
    <row r="15" spans="1:9" ht="31.5" x14ac:dyDescent="0.25">
      <c r="A15" s="540" t="s">
        <v>559</v>
      </c>
      <c r="B15" s="541"/>
      <c r="C15" s="541"/>
      <c r="D15" s="528"/>
      <c r="E15" s="528"/>
      <c r="F15" s="528">
        <f t="shared" si="1"/>
        <v>2166</v>
      </c>
      <c r="G15" s="528">
        <v>2166</v>
      </c>
      <c r="H15" s="528"/>
      <c r="I15" s="529"/>
    </row>
    <row r="16" spans="1:9" ht="31.5" x14ac:dyDescent="0.25">
      <c r="A16" s="540" t="s">
        <v>560</v>
      </c>
      <c r="B16" s="541"/>
      <c r="C16" s="541"/>
      <c r="D16" s="528"/>
      <c r="E16" s="528"/>
      <c r="F16" s="528">
        <f t="shared" si="1"/>
        <v>1333</v>
      </c>
      <c r="G16" s="528">
        <v>1333</v>
      </c>
      <c r="H16" s="528"/>
      <c r="I16" s="529"/>
    </row>
    <row r="17" spans="1:9" ht="21.75" customHeight="1" x14ac:dyDescent="0.25">
      <c r="A17" s="431" t="s">
        <v>136</v>
      </c>
      <c r="B17" s="432"/>
      <c r="C17" s="432"/>
      <c r="D17" s="433"/>
      <c r="E17" s="433"/>
      <c r="F17" s="433">
        <f t="shared" si="1"/>
        <v>24750</v>
      </c>
      <c r="G17" s="433">
        <f>SUM(G18:G20)</f>
        <v>24750</v>
      </c>
      <c r="H17" s="433">
        <f>SUM(H18:H20)</f>
        <v>0</v>
      </c>
      <c r="I17" s="434">
        <f>SUM(I18:I20)</f>
        <v>0</v>
      </c>
    </row>
    <row r="18" spans="1:9" ht="21.75" customHeight="1" x14ac:dyDescent="0.25">
      <c r="A18" s="164"/>
      <c r="B18" s="165"/>
      <c r="C18" s="165"/>
      <c r="D18" s="109"/>
      <c r="E18" s="109"/>
      <c r="F18" s="109">
        <f t="shared" si="1"/>
        <v>0</v>
      </c>
      <c r="G18" s="109"/>
      <c r="H18" s="109">
        <v>0</v>
      </c>
      <c r="I18" s="125">
        <v>0</v>
      </c>
    </row>
    <row r="19" spans="1:9" ht="21.75" customHeight="1" x14ac:dyDescent="0.25">
      <c r="A19" s="533" t="s">
        <v>226</v>
      </c>
      <c r="B19" s="534"/>
      <c r="C19" s="534"/>
      <c r="D19" s="528"/>
      <c r="E19" s="528"/>
      <c r="F19" s="528">
        <f t="shared" si="1"/>
        <v>17480</v>
      </c>
      <c r="G19" s="528">
        <v>17480</v>
      </c>
      <c r="H19" s="528">
        <v>0</v>
      </c>
      <c r="I19" s="125">
        <v>0</v>
      </c>
    </row>
    <row r="20" spans="1:9" ht="21.75" customHeight="1" x14ac:dyDescent="0.25">
      <c r="A20" s="527" t="s">
        <v>227</v>
      </c>
      <c r="B20" s="532"/>
      <c r="C20" s="532"/>
      <c r="D20" s="528"/>
      <c r="E20" s="528"/>
      <c r="F20" s="528">
        <f t="shared" si="1"/>
        <v>7270</v>
      </c>
      <c r="G20" s="528">
        <v>7270</v>
      </c>
      <c r="H20" s="528">
        <v>0</v>
      </c>
      <c r="I20" s="125">
        <v>0</v>
      </c>
    </row>
    <row r="21" spans="1:9" ht="21.75" customHeight="1" thickBot="1" x14ac:dyDescent="0.3">
      <c r="A21" s="204"/>
      <c r="B21" s="205"/>
      <c r="C21" s="205"/>
      <c r="D21" s="206"/>
      <c r="E21" s="206"/>
      <c r="F21" s="206"/>
      <c r="G21" s="206"/>
      <c r="H21" s="206"/>
      <c r="I21" s="207"/>
    </row>
    <row r="22" spans="1:9" ht="21.95" customHeight="1" thickBot="1" x14ac:dyDescent="0.3">
      <c r="A22" s="428" t="s">
        <v>100</v>
      </c>
      <c r="B22" s="429" t="e">
        <f>B6+B11+B13</f>
        <v>#REF!</v>
      </c>
      <c r="C22" s="429" t="e">
        <f>C6+C11+C13</f>
        <v>#REF!</v>
      </c>
      <c r="D22" s="429" t="e">
        <f>D6+D11+D13</f>
        <v>#REF!</v>
      </c>
      <c r="E22" s="430" t="e">
        <f>E6+E11+E13</f>
        <v>#REF!</v>
      </c>
      <c r="F22" s="437">
        <f>F6+F11+F13+F17</f>
        <v>101826</v>
      </c>
      <c r="G22" s="437">
        <f>G6+G11+G13+G17</f>
        <v>101826</v>
      </c>
      <c r="H22" s="437">
        <f>H6+H11+H13+H17</f>
        <v>0</v>
      </c>
      <c r="I22" s="437">
        <f>I6+I11+I13+I17</f>
        <v>0</v>
      </c>
    </row>
    <row r="23" spans="1:9" ht="21.95" customHeight="1" x14ac:dyDescent="0.25"/>
    <row r="24" spans="1:9" ht="21.95" customHeight="1" x14ac:dyDescent="0.25">
      <c r="A24" s="156"/>
      <c r="B24" s="156"/>
      <c r="C24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8.5703125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274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96" t="s">
        <v>15</v>
      </c>
      <c r="B6" s="433">
        <f>SUM(B7:B9)</f>
        <v>21907</v>
      </c>
      <c r="C6" s="433">
        <f>SUM(C7:C9)</f>
        <v>36590</v>
      </c>
      <c r="D6" s="433">
        <f>SUM(D7:D9)</f>
        <v>37531</v>
      </c>
      <c r="E6" s="433">
        <f>SUM(E7:E9)</f>
        <v>39436</v>
      </c>
      <c r="F6" s="433">
        <f t="shared" ref="F6:F11" si="0">SUM(G6:I6)</f>
        <v>50590</v>
      </c>
      <c r="G6" s="433">
        <f>SUM(G7:G10)</f>
        <v>50590</v>
      </c>
      <c r="H6" s="433">
        <f t="shared" ref="H6:I6" si="1">SUM(H7:H10)</f>
        <v>0</v>
      </c>
      <c r="I6" s="434">
        <f t="shared" si="1"/>
        <v>0</v>
      </c>
    </row>
    <row r="7" spans="1:9" ht="21.95" customHeight="1" x14ac:dyDescent="0.25">
      <c r="A7" s="187" t="s">
        <v>138</v>
      </c>
      <c r="B7" s="188">
        <v>18003</v>
      </c>
      <c r="C7" s="188">
        <v>32401</v>
      </c>
      <c r="D7" s="189">
        <v>32589</v>
      </c>
      <c r="E7" s="190">
        <v>34530</v>
      </c>
      <c r="F7" s="188">
        <f t="shared" si="0"/>
        <v>44556</v>
      </c>
      <c r="G7" s="188">
        <v>44556</v>
      </c>
      <c r="H7" s="188"/>
      <c r="I7" s="191"/>
    </row>
    <row r="8" spans="1:9" ht="21.95" customHeight="1" x14ac:dyDescent="0.25">
      <c r="A8" s="164" t="s">
        <v>139</v>
      </c>
      <c r="B8" s="165">
        <v>1444</v>
      </c>
      <c r="C8" s="165">
        <v>1343</v>
      </c>
      <c r="D8" s="109">
        <v>1803</v>
      </c>
      <c r="E8" s="166">
        <v>1582</v>
      </c>
      <c r="F8" s="165">
        <f t="shared" si="0"/>
        <v>1660</v>
      </c>
      <c r="G8" s="165">
        <v>1660</v>
      </c>
      <c r="H8" s="165"/>
      <c r="I8" s="167"/>
    </row>
    <row r="9" spans="1:9" ht="21.95" customHeight="1" x14ac:dyDescent="0.25">
      <c r="A9" s="187" t="s">
        <v>140</v>
      </c>
      <c r="B9" s="188">
        <v>2460</v>
      </c>
      <c r="C9" s="188">
        <v>2846</v>
      </c>
      <c r="D9" s="189">
        <v>3139</v>
      </c>
      <c r="E9" s="190">
        <v>3324</v>
      </c>
      <c r="F9" s="188">
        <f t="shared" si="0"/>
        <v>4374</v>
      </c>
      <c r="G9" s="188">
        <v>4374</v>
      </c>
      <c r="H9" s="188"/>
      <c r="I9" s="191"/>
    </row>
    <row r="10" spans="1:9" ht="21.95" customHeight="1" x14ac:dyDescent="0.25">
      <c r="A10" s="201"/>
      <c r="B10" s="193"/>
      <c r="C10" s="193"/>
      <c r="D10" s="189"/>
      <c r="E10" s="189"/>
      <c r="F10" s="189">
        <f t="shared" si="0"/>
        <v>0</v>
      </c>
      <c r="G10" s="189"/>
      <c r="H10" s="189"/>
      <c r="I10" s="194"/>
    </row>
    <row r="11" spans="1:9" ht="21.95" customHeight="1" x14ac:dyDescent="0.25">
      <c r="A11" s="496" t="s">
        <v>141</v>
      </c>
      <c r="B11" s="436"/>
      <c r="C11" s="436"/>
      <c r="D11" s="433"/>
      <c r="E11" s="433"/>
      <c r="F11" s="433">
        <f t="shared" si="0"/>
        <v>0</v>
      </c>
      <c r="G11" s="433">
        <f>SUM(G12)</f>
        <v>0</v>
      </c>
      <c r="H11" s="433">
        <f t="shared" ref="H11:I11" si="2">SUM(H12)</f>
        <v>0</v>
      </c>
      <c r="I11" s="434">
        <f t="shared" si="2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9" ht="21.95" customHeight="1" x14ac:dyDescent="0.25">
      <c r="A13" s="496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>SUM(G13:I13)</f>
        <v>0</v>
      </c>
      <c r="G13" s="433">
        <f>SUM(G14)</f>
        <v>0</v>
      </c>
      <c r="H13" s="433">
        <f t="shared" ref="H13:I13" si="3">SUM(H14)</f>
        <v>0</v>
      </c>
      <c r="I13" s="434">
        <f t="shared" si="3"/>
        <v>0</v>
      </c>
    </row>
    <row r="14" spans="1:9" ht="21.95" customHeight="1" x14ac:dyDescent="0.25">
      <c r="A14" s="187"/>
      <c r="B14" s="188"/>
      <c r="C14" s="188"/>
      <c r="D14" s="189"/>
      <c r="E14" s="189"/>
      <c r="F14" s="189"/>
      <c r="G14" s="189"/>
      <c r="H14" s="189"/>
      <c r="I14" s="194"/>
    </row>
    <row r="15" spans="1:9" ht="21.95" customHeight="1" x14ac:dyDescent="0.25">
      <c r="A15" s="496" t="s">
        <v>136</v>
      </c>
      <c r="B15" s="432"/>
      <c r="C15" s="432"/>
      <c r="D15" s="433"/>
      <c r="E15" s="433"/>
      <c r="F15" s="433">
        <f>SUM(G15:I15)</f>
        <v>16031</v>
      </c>
      <c r="G15" s="433">
        <f>SUM(G16:G17)</f>
        <v>16031</v>
      </c>
      <c r="H15" s="433">
        <f>SUM(H16:H17)</f>
        <v>0</v>
      </c>
      <c r="I15" s="434">
        <f>SUM(I16:I17)</f>
        <v>0</v>
      </c>
    </row>
    <row r="16" spans="1:9" ht="21.95" customHeight="1" x14ac:dyDescent="0.25">
      <c r="A16" s="187" t="s">
        <v>229</v>
      </c>
      <c r="B16" s="188"/>
      <c r="C16" s="188"/>
      <c r="D16" s="189"/>
      <c r="E16" s="189"/>
      <c r="F16" s="189">
        <f>SUM(G16:I16)</f>
        <v>9097</v>
      </c>
      <c r="G16" s="189">
        <v>9097</v>
      </c>
      <c r="H16" s="189"/>
      <c r="I16" s="194"/>
    </row>
    <row r="17" spans="1:9" ht="21.95" customHeight="1" x14ac:dyDescent="0.25">
      <c r="A17" s="164" t="s">
        <v>230</v>
      </c>
      <c r="B17" s="165"/>
      <c r="C17" s="165"/>
      <c r="D17" s="109"/>
      <c r="E17" s="109"/>
      <c r="F17" s="109">
        <f>SUM(G17:I17)</f>
        <v>6934</v>
      </c>
      <c r="G17" s="109">
        <v>6934</v>
      </c>
      <c r="H17" s="109"/>
      <c r="I17" s="125"/>
    </row>
    <row r="18" spans="1:9" ht="21.95" customHeight="1" thickBot="1" x14ac:dyDescent="0.3">
      <c r="A18" s="330"/>
      <c r="B18" s="224"/>
      <c r="C18" s="224"/>
      <c r="D18" s="132"/>
      <c r="E18" s="132"/>
      <c r="F18" s="132"/>
      <c r="G18" s="132"/>
      <c r="H18" s="132"/>
      <c r="I18" s="135"/>
    </row>
    <row r="19" spans="1:9" ht="21.95" customHeight="1" thickBot="1" x14ac:dyDescent="0.3">
      <c r="A19" s="428" t="s">
        <v>100</v>
      </c>
      <c r="B19" s="429" t="e">
        <f>B6+B11+B13</f>
        <v>#REF!</v>
      </c>
      <c r="C19" s="429" t="e">
        <f>C6+C11+C13</f>
        <v>#REF!</v>
      </c>
      <c r="D19" s="429" t="e">
        <f>D6+D11+D13</f>
        <v>#REF!</v>
      </c>
      <c r="E19" s="430" t="e">
        <f>E6+E11+E13</f>
        <v>#REF!</v>
      </c>
      <c r="F19" s="437">
        <f>F6+F11+F13+F15</f>
        <v>66621</v>
      </c>
      <c r="G19" s="437">
        <f>G6+G11+G13+G15</f>
        <v>66621</v>
      </c>
      <c r="H19" s="437">
        <f>H6+H11+H13+H15</f>
        <v>0</v>
      </c>
      <c r="I19" s="437">
        <f>I6+I11+I13+I15</f>
        <v>0</v>
      </c>
    </row>
    <row r="20" spans="1:9" ht="21.95" customHeight="1" x14ac:dyDescent="0.25"/>
    <row r="21" spans="1:9" ht="21.95" customHeight="1" x14ac:dyDescent="0.25">
      <c r="A21" s="156"/>
      <c r="B21" s="156"/>
      <c r="C21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2" topLeftCell="A3" activePane="bottomLeft" state="frozen"/>
      <selection activeCell="F34" sqref="F34"/>
      <selection pane="bottomLeft" activeCell="F34" sqref="F34"/>
    </sheetView>
  </sheetViews>
  <sheetFormatPr baseColWidth="10" defaultRowHeight="12.75" x14ac:dyDescent="0.2"/>
  <cols>
    <col min="1" max="1" width="65.28515625" style="28" customWidth="1"/>
    <col min="2" max="3" width="13.140625" style="28" hidden="1" customWidth="1"/>
    <col min="4" max="4" width="13.7109375" style="28" hidden="1" customWidth="1"/>
    <col min="5" max="5" width="10.28515625" style="28" hidden="1" customWidth="1"/>
    <col min="6" max="6" width="14.28515625" style="28" customWidth="1"/>
    <col min="7" max="16384" width="11.42578125" style="28"/>
  </cols>
  <sheetData>
    <row r="1" spans="1:6" ht="19.5" customHeight="1" thickBot="1" x14ac:dyDescent="0.35">
      <c r="A1" s="812" t="s">
        <v>342</v>
      </c>
      <c r="B1" s="813"/>
      <c r="C1" s="813"/>
      <c r="D1" s="813"/>
      <c r="E1" s="813"/>
      <c r="F1" s="814"/>
    </row>
    <row r="2" spans="1:6" ht="15" customHeight="1" thickBot="1" x14ac:dyDescent="0.25">
      <c r="A2" s="632" t="s">
        <v>1</v>
      </c>
      <c r="B2" s="815">
        <v>2010</v>
      </c>
      <c r="C2" s="816"/>
      <c r="D2" s="815">
        <v>2011</v>
      </c>
      <c r="E2" s="816"/>
      <c r="F2" s="4" t="s">
        <v>323</v>
      </c>
    </row>
    <row r="3" spans="1:6" ht="15" customHeight="1" thickBot="1" x14ac:dyDescent="0.3">
      <c r="A3" s="523" t="s">
        <v>31</v>
      </c>
      <c r="B3" s="524" t="e">
        <f>B4+B14+B30+B36+#REF!</f>
        <v>#REF!</v>
      </c>
      <c r="C3" s="525" t="e">
        <f>C4+C14+C30+C36+#REF!</f>
        <v>#REF!</v>
      </c>
      <c r="D3" s="524" t="e">
        <f>D4+D14+D30+D36+#REF!</f>
        <v>#REF!</v>
      </c>
      <c r="E3" s="525" t="e">
        <f>E4+E14+E30+E36+#REF!</f>
        <v>#REF!</v>
      </c>
      <c r="F3" s="522">
        <f>F4+F14+F30+F36</f>
        <v>1074299</v>
      </c>
    </row>
    <row r="4" spans="1:6" ht="15" customHeight="1" x14ac:dyDescent="0.25">
      <c r="A4" s="29" t="s">
        <v>33</v>
      </c>
      <c r="B4" s="30">
        <f>SUM(B5:B13)</f>
        <v>309087</v>
      </c>
      <c r="C4" s="31">
        <f>SUM(C5:C13)</f>
        <v>366318</v>
      </c>
      <c r="D4" s="30">
        <f>SUM(D5:D13)</f>
        <v>360712</v>
      </c>
      <c r="E4" s="31">
        <f>SUM(E5:E13)</f>
        <v>371708</v>
      </c>
      <c r="F4" s="32">
        <f>SUM(F5:F13)</f>
        <v>619252</v>
      </c>
    </row>
    <row r="5" spans="1:6" ht="15" customHeight="1" x14ac:dyDescent="0.25">
      <c r="A5" s="33" t="s">
        <v>66</v>
      </c>
      <c r="B5" s="34">
        <v>29030</v>
      </c>
      <c r="C5" s="34">
        <v>27722</v>
      </c>
      <c r="D5" s="35">
        <v>28779</v>
      </c>
      <c r="E5" s="36">
        <v>28860</v>
      </c>
      <c r="F5" s="37">
        <v>1287</v>
      </c>
    </row>
    <row r="6" spans="1:6" ht="15" customHeight="1" x14ac:dyDescent="0.25">
      <c r="A6" s="38" t="s">
        <v>67</v>
      </c>
      <c r="B6" s="34">
        <v>7500</v>
      </c>
      <c r="C6" s="34">
        <v>5443</v>
      </c>
      <c r="D6" s="35">
        <v>8374</v>
      </c>
      <c r="E6" s="39">
        <v>7315</v>
      </c>
      <c r="F6" s="20">
        <v>10679</v>
      </c>
    </row>
    <row r="7" spans="1:6" ht="15" customHeight="1" x14ac:dyDescent="0.25">
      <c r="A7" s="38" t="s">
        <v>68</v>
      </c>
      <c r="B7" s="34">
        <v>9963</v>
      </c>
      <c r="C7" s="34">
        <v>8906</v>
      </c>
      <c r="D7" s="35">
        <v>10193</v>
      </c>
      <c r="E7" s="39">
        <v>9421</v>
      </c>
      <c r="F7" s="519">
        <v>12536</v>
      </c>
    </row>
    <row r="8" spans="1:6" ht="15" customHeight="1" x14ac:dyDescent="0.25">
      <c r="A8" s="38" t="s">
        <v>69</v>
      </c>
      <c r="B8" s="34">
        <v>664</v>
      </c>
      <c r="C8" s="34">
        <v>1183</v>
      </c>
      <c r="D8" s="35">
        <v>163</v>
      </c>
      <c r="E8" s="39">
        <v>2126</v>
      </c>
      <c r="F8" s="519">
        <v>1220</v>
      </c>
    </row>
    <row r="9" spans="1:6" ht="15" customHeight="1" x14ac:dyDescent="0.25">
      <c r="A9" s="38" t="s">
        <v>70</v>
      </c>
      <c r="B9" s="34">
        <v>650</v>
      </c>
      <c r="C9" s="34">
        <v>523</v>
      </c>
      <c r="D9" s="35">
        <v>685</v>
      </c>
      <c r="E9" s="40">
        <v>547</v>
      </c>
      <c r="F9" s="519">
        <v>659</v>
      </c>
    </row>
    <row r="10" spans="1:6" ht="15" customHeight="1" x14ac:dyDescent="0.25">
      <c r="A10" s="41" t="s">
        <v>71</v>
      </c>
      <c r="B10" s="42">
        <v>5620</v>
      </c>
      <c r="C10" s="42">
        <v>12315</v>
      </c>
      <c r="D10" s="35">
        <v>16882</v>
      </c>
      <c r="E10" s="40">
        <v>427</v>
      </c>
      <c r="F10" s="519">
        <v>1808</v>
      </c>
    </row>
    <row r="11" spans="1:6" ht="15" customHeight="1" x14ac:dyDescent="0.25">
      <c r="A11" s="38" t="s">
        <v>72</v>
      </c>
      <c r="B11" s="34">
        <v>156288</v>
      </c>
      <c r="C11" s="34">
        <v>213576</v>
      </c>
      <c r="D11" s="35">
        <v>197487</v>
      </c>
      <c r="E11" s="40">
        <v>229408</v>
      </c>
      <c r="F11" s="519">
        <v>481178</v>
      </c>
    </row>
    <row r="12" spans="1:6" ht="15" customHeight="1" x14ac:dyDescent="0.25">
      <c r="A12" s="38" t="s">
        <v>324</v>
      </c>
      <c r="B12" s="34"/>
      <c r="C12" s="34"/>
      <c r="D12" s="35"/>
      <c r="E12" s="40"/>
      <c r="F12" s="519">
        <v>350</v>
      </c>
    </row>
    <row r="13" spans="1:6" ht="15" customHeight="1" x14ac:dyDescent="0.25">
      <c r="A13" s="38" t="s">
        <v>73</v>
      </c>
      <c r="B13" s="34">
        <v>99372</v>
      </c>
      <c r="C13" s="34">
        <v>96650</v>
      </c>
      <c r="D13" s="35">
        <v>98149</v>
      </c>
      <c r="E13" s="40">
        <v>93604</v>
      </c>
      <c r="F13" s="20">
        <v>109535</v>
      </c>
    </row>
    <row r="14" spans="1:6" ht="15" customHeight="1" x14ac:dyDescent="0.25">
      <c r="A14" s="554" t="s">
        <v>34</v>
      </c>
      <c r="B14" s="44">
        <f>SUM(B15:B29)</f>
        <v>357649</v>
      </c>
      <c r="C14" s="44">
        <f>SUM(C15:C29)</f>
        <v>339187</v>
      </c>
      <c r="D14" s="44">
        <f>SUM(D15:D29)</f>
        <v>385953</v>
      </c>
      <c r="E14" s="44">
        <f>SUM(E15:E29)</f>
        <v>328911</v>
      </c>
      <c r="F14" s="45">
        <f>SUM(F15:F29)</f>
        <v>415970</v>
      </c>
    </row>
    <row r="15" spans="1:6" ht="15" customHeight="1" x14ac:dyDescent="0.25">
      <c r="A15" s="33" t="s">
        <v>74</v>
      </c>
      <c r="B15" s="46">
        <v>139436</v>
      </c>
      <c r="C15" s="46">
        <v>142274</v>
      </c>
      <c r="D15" s="47">
        <v>160097</v>
      </c>
      <c r="E15" s="48">
        <v>148780</v>
      </c>
      <c r="F15" s="37">
        <v>174210</v>
      </c>
    </row>
    <row r="16" spans="1:6" ht="15" customHeight="1" x14ac:dyDescent="0.25">
      <c r="A16" s="38" t="s">
        <v>75</v>
      </c>
      <c r="B16" s="21">
        <v>748</v>
      </c>
      <c r="C16" s="21">
        <v>727</v>
      </c>
      <c r="D16" s="19">
        <v>1014</v>
      </c>
      <c r="E16" s="49">
        <v>84</v>
      </c>
      <c r="F16" s="20">
        <v>447</v>
      </c>
    </row>
    <row r="17" spans="1:6" ht="15" customHeight="1" x14ac:dyDescent="0.25">
      <c r="A17" s="38" t="s">
        <v>76</v>
      </c>
      <c r="B17" s="21">
        <v>2239</v>
      </c>
      <c r="C17" s="21">
        <v>0</v>
      </c>
      <c r="D17" s="19">
        <v>2941</v>
      </c>
      <c r="E17" s="49">
        <v>0</v>
      </c>
      <c r="F17" s="20">
        <v>4455</v>
      </c>
    </row>
    <row r="18" spans="1:6" ht="15" customHeight="1" x14ac:dyDescent="0.25">
      <c r="A18" s="38" t="s">
        <v>77</v>
      </c>
      <c r="B18" s="21">
        <v>129731</v>
      </c>
      <c r="C18" s="21">
        <v>117827</v>
      </c>
      <c r="D18" s="19">
        <v>120189</v>
      </c>
      <c r="E18" s="49">
        <v>122966</v>
      </c>
      <c r="F18" s="20">
        <v>160153</v>
      </c>
    </row>
    <row r="19" spans="1:6" ht="15" customHeight="1" x14ac:dyDescent="0.25">
      <c r="A19" s="38" t="s">
        <v>78</v>
      </c>
      <c r="B19" s="21">
        <v>24144</v>
      </c>
      <c r="C19" s="21">
        <v>0</v>
      </c>
      <c r="D19" s="19">
        <v>25980</v>
      </c>
      <c r="E19" s="49">
        <v>0</v>
      </c>
      <c r="F19" s="20">
        <v>236</v>
      </c>
    </row>
    <row r="20" spans="1:6" ht="15" customHeight="1" x14ac:dyDescent="0.25">
      <c r="A20" s="38" t="s">
        <v>79</v>
      </c>
      <c r="B20" s="21"/>
      <c r="C20" s="21"/>
      <c r="D20" s="19"/>
      <c r="E20" s="49"/>
      <c r="F20" s="20">
        <v>13616</v>
      </c>
    </row>
    <row r="21" spans="1:6" ht="15" customHeight="1" x14ac:dyDescent="0.25">
      <c r="A21" s="38" t="s">
        <v>80</v>
      </c>
      <c r="B21" s="21">
        <v>53153</v>
      </c>
      <c r="C21" s="21">
        <v>64104</v>
      </c>
      <c r="D21" s="19">
        <v>67723</v>
      </c>
      <c r="E21" s="49">
        <v>42556</v>
      </c>
      <c r="F21" s="20">
        <v>43459</v>
      </c>
    </row>
    <row r="22" spans="1:6" ht="15" customHeight="1" x14ac:dyDescent="0.25">
      <c r="A22" s="38" t="s">
        <v>81</v>
      </c>
      <c r="B22" s="21">
        <v>400</v>
      </c>
      <c r="C22" s="21">
        <v>544</v>
      </c>
      <c r="D22" s="19">
        <v>527</v>
      </c>
      <c r="E22" s="49">
        <v>622</v>
      </c>
      <c r="F22" s="20">
        <v>862</v>
      </c>
    </row>
    <row r="23" spans="1:6" ht="15" customHeight="1" x14ac:dyDescent="0.25">
      <c r="A23" s="38" t="s">
        <v>82</v>
      </c>
      <c r="B23" s="21">
        <v>3935</v>
      </c>
      <c r="C23" s="21">
        <v>5338</v>
      </c>
      <c r="D23" s="19">
        <v>3324</v>
      </c>
      <c r="E23" s="49">
        <v>5333</v>
      </c>
      <c r="F23" s="20">
        <v>5397</v>
      </c>
    </row>
    <row r="24" spans="1:6" ht="15.75" customHeight="1" x14ac:dyDescent="0.25">
      <c r="A24" s="38" t="s">
        <v>83</v>
      </c>
      <c r="B24" s="21">
        <v>52</v>
      </c>
      <c r="C24" s="21">
        <v>43</v>
      </c>
      <c r="D24" s="19">
        <v>69</v>
      </c>
      <c r="E24" s="49">
        <v>55</v>
      </c>
      <c r="F24" s="20">
        <v>72</v>
      </c>
    </row>
    <row r="25" spans="1:6" ht="31.5" customHeight="1" x14ac:dyDescent="0.25">
      <c r="A25" s="50" t="s">
        <v>84</v>
      </c>
      <c r="B25" s="51">
        <v>701</v>
      </c>
      <c r="C25" s="51">
        <v>484</v>
      </c>
      <c r="D25" s="19">
        <v>596</v>
      </c>
      <c r="E25" s="49">
        <v>429</v>
      </c>
      <c r="F25" s="20">
        <v>403</v>
      </c>
    </row>
    <row r="26" spans="1:6" ht="31.5" customHeight="1" x14ac:dyDescent="0.25">
      <c r="A26" s="41" t="s">
        <v>85</v>
      </c>
      <c r="B26" s="52">
        <v>3056</v>
      </c>
      <c r="C26" s="52">
        <v>7831</v>
      </c>
      <c r="D26" s="19">
        <v>3489</v>
      </c>
      <c r="E26" s="49">
        <v>8057</v>
      </c>
      <c r="F26" s="20">
        <v>7110</v>
      </c>
    </row>
    <row r="27" spans="1:6" ht="15" customHeight="1" x14ac:dyDescent="0.25">
      <c r="A27" s="520" t="s">
        <v>86</v>
      </c>
      <c r="B27" s="521"/>
      <c r="C27" s="521"/>
      <c r="D27" s="517">
        <v>4</v>
      </c>
      <c r="E27" s="518">
        <v>29</v>
      </c>
      <c r="F27" s="519"/>
    </row>
    <row r="28" spans="1:6" ht="15" customHeight="1" x14ac:dyDescent="0.25">
      <c r="A28" s="520" t="s">
        <v>87</v>
      </c>
      <c r="B28" s="521"/>
      <c r="C28" s="521"/>
      <c r="D28" s="517"/>
      <c r="E28" s="518"/>
      <c r="F28" s="519">
        <v>2858</v>
      </c>
    </row>
    <row r="29" spans="1:6" ht="15" customHeight="1" x14ac:dyDescent="0.25">
      <c r="A29" s="53" t="s">
        <v>325</v>
      </c>
      <c r="B29" s="54">
        <v>54</v>
      </c>
      <c r="C29" s="54">
        <v>15</v>
      </c>
      <c r="D29" s="55"/>
      <c r="E29" s="56"/>
      <c r="F29" s="57">
        <v>2692</v>
      </c>
    </row>
    <row r="30" spans="1:6" ht="15" customHeight="1" x14ac:dyDescent="0.25">
      <c r="A30" s="554" t="s">
        <v>88</v>
      </c>
      <c r="B30" s="44">
        <f>SUM(B31:B35)</f>
        <v>55021</v>
      </c>
      <c r="C30" s="44">
        <f>SUM(C31:C35)</f>
        <v>40641</v>
      </c>
      <c r="D30" s="44">
        <f>SUM(D31:D35)</f>
        <v>54509</v>
      </c>
      <c r="E30" s="44">
        <f>SUM(E31:E35)</f>
        <v>28223</v>
      </c>
      <c r="F30" s="45">
        <f>SUM(F31:F35)</f>
        <v>20933</v>
      </c>
    </row>
    <row r="31" spans="1:6" ht="15" customHeight="1" x14ac:dyDescent="0.25">
      <c r="A31" s="58" t="s">
        <v>89</v>
      </c>
      <c r="B31" s="59">
        <v>46136</v>
      </c>
      <c r="C31" s="59">
        <v>34630</v>
      </c>
      <c r="D31" s="47">
        <v>43971</v>
      </c>
      <c r="E31" s="48">
        <v>12928</v>
      </c>
      <c r="F31" s="37">
        <v>12240</v>
      </c>
    </row>
    <row r="32" spans="1:6" ht="15" customHeight="1" x14ac:dyDescent="0.25">
      <c r="A32" s="60" t="s">
        <v>90</v>
      </c>
      <c r="B32" s="61">
        <v>601</v>
      </c>
      <c r="C32" s="61">
        <v>654</v>
      </c>
      <c r="D32" s="19">
        <v>647</v>
      </c>
      <c r="E32" s="49">
        <v>630</v>
      </c>
      <c r="F32" s="20">
        <v>560</v>
      </c>
    </row>
    <row r="33" spans="1:6" ht="15" customHeight="1" x14ac:dyDescent="0.25">
      <c r="A33" s="60" t="s">
        <v>91</v>
      </c>
      <c r="B33" s="61">
        <v>1784</v>
      </c>
      <c r="C33" s="61">
        <v>2122</v>
      </c>
      <c r="D33" s="19">
        <v>1891</v>
      </c>
      <c r="E33" s="49">
        <v>2143</v>
      </c>
      <c r="F33" s="20">
        <v>2005</v>
      </c>
    </row>
    <row r="34" spans="1:6" ht="15" customHeight="1" x14ac:dyDescent="0.25">
      <c r="A34" s="60" t="s">
        <v>92</v>
      </c>
      <c r="B34" s="61">
        <v>1500</v>
      </c>
      <c r="C34" s="61">
        <v>1859</v>
      </c>
      <c r="D34" s="19">
        <v>2500</v>
      </c>
      <c r="E34" s="49">
        <v>10296</v>
      </c>
      <c r="F34" s="20">
        <v>4957</v>
      </c>
    </row>
    <row r="35" spans="1:6" ht="15" customHeight="1" x14ac:dyDescent="0.25">
      <c r="A35" s="62" t="s">
        <v>93</v>
      </c>
      <c r="B35" s="63">
        <v>5000</v>
      </c>
      <c r="C35" s="63">
        <v>1376</v>
      </c>
      <c r="D35" s="64">
        <v>5500</v>
      </c>
      <c r="E35" s="65">
        <v>2226</v>
      </c>
      <c r="F35" s="43">
        <v>1171</v>
      </c>
    </row>
    <row r="36" spans="1:6" ht="15" customHeight="1" x14ac:dyDescent="0.25">
      <c r="A36" s="554" t="s">
        <v>94</v>
      </c>
      <c r="B36" s="44">
        <f>SUM(B37:B40)</f>
        <v>47391</v>
      </c>
      <c r="C36" s="44">
        <f>SUM(C37:C40)</f>
        <v>30151</v>
      </c>
      <c r="D36" s="44">
        <f>SUM(D37:D40)</f>
        <v>64250</v>
      </c>
      <c r="E36" s="44">
        <f>SUM(E37:E40)</f>
        <v>25842</v>
      </c>
      <c r="F36" s="45">
        <f>SUM(F37:F40)</f>
        <v>18144</v>
      </c>
    </row>
    <row r="37" spans="1:6" ht="15" customHeight="1" x14ac:dyDescent="0.25">
      <c r="A37" s="66" t="s">
        <v>95</v>
      </c>
      <c r="B37" s="67">
        <v>24266</v>
      </c>
      <c r="C37" s="67">
        <v>15842</v>
      </c>
      <c r="D37" s="46">
        <v>31398</v>
      </c>
      <c r="E37" s="68">
        <v>16555</v>
      </c>
      <c r="F37" s="69">
        <v>10132</v>
      </c>
    </row>
    <row r="38" spans="1:6" ht="15" customHeight="1" x14ac:dyDescent="0.25">
      <c r="A38" s="60" t="s">
        <v>96</v>
      </c>
      <c r="B38" s="61">
        <v>19328</v>
      </c>
      <c r="C38" s="61">
        <v>7839</v>
      </c>
      <c r="D38" s="21">
        <v>28609</v>
      </c>
      <c r="E38" s="70">
        <v>4458</v>
      </c>
      <c r="F38" s="22">
        <v>6771</v>
      </c>
    </row>
    <row r="39" spans="1:6" ht="15" customHeight="1" x14ac:dyDescent="0.25">
      <c r="A39" s="60" t="s">
        <v>97</v>
      </c>
      <c r="B39" s="61">
        <v>3252</v>
      </c>
      <c r="C39" s="61">
        <v>6232</v>
      </c>
      <c r="D39" s="21">
        <v>3920</v>
      </c>
      <c r="E39" s="70">
        <v>4760</v>
      </c>
      <c r="F39" s="22">
        <v>1001</v>
      </c>
    </row>
    <row r="40" spans="1:6" ht="15" customHeight="1" thickBot="1" x14ac:dyDescent="0.3">
      <c r="A40" s="555" t="s">
        <v>86</v>
      </c>
      <c r="B40" s="556">
        <v>545</v>
      </c>
      <c r="C40" s="556">
        <v>238</v>
      </c>
      <c r="D40" s="557">
        <v>323</v>
      </c>
      <c r="E40" s="558">
        <v>69</v>
      </c>
      <c r="F40" s="559">
        <v>240</v>
      </c>
    </row>
    <row r="41" spans="1:6" ht="15" customHeight="1" x14ac:dyDescent="0.2">
      <c r="E41" s="71"/>
    </row>
  </sheetData>
  <mergeCells count="3">
    <mergeCell ref="A1:F1"/>
    <mergeCell ref="B2:C2"/>
    <mergeCell ref="D2:E2"/>
  </mergeCells>
  <phoneticPr fontId="23" type="noConversion"/>
  <printOptions horizontalCentered="1"/>
  <pageMargins left="0.51181102362204722" right="0.51181102362204722" top="0.9055118110236221" bottom="0.15748031496062992" header="0.31496062992125984" footer="0.31496062992125984"/>
  <pageSetup fitToHeight="5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6.140625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275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35" t="s">
        <v>15</v>
      </c>
      <c r="B6" s="433">
        <f>SUM(B7:B9)</f>
        <v>0</v>
      </c>
      <c r="C6" s="433">
        <f>SUM(C7:C9)</f>
        <v>0</v>
      </c>
      <c r="D6" s="433">
        <f>SUM(D7:D9)</f>
        <v>0</v>
      </c>
      <c r="E6" s="433">
        <f>SUM(E7:E9)</f>
        <v>0</v>
      </c>
      <c r="F6" s="433">
        <f>SUM(G6:I6)</f>
        <v>40000</v>
      </c>
      <c r="G6" s="433">
        <f>SUM(G7:G9)</f>
        <v>40000</v>
      </c>
      <c r="H6" s="433">
        <f>SUM(H7:H9)</f>
        <v>0</v>
      </c>
      <c r="I6" s="434">
        <f>SUM(I7:I9)</f>
        <v>0</v>
      </c>
    </row>
    <row r="7" spans="1:9" ht="21.95" customHeight="1" x14ac:dyDescent="0.25">
      <c r="A7" s="187" t="s">
        <v>138</v>
      </c>
      <c r="B7" s="188">
        <v>0</v>
      </c>
      <c r="C7" s="188">
        <v>0</v>
      </c>
      <c r="D7" s="189">
        <v>0</v>
      </c>
      <c r="E7" s="190">
        <v>0</v>
      </c>
      <c r="F7" s="190">
        <f>SUM(G7:I7)</f>
        <v>38883</v>
      </c>
      <c r="G7" s="190">
        <v>38883</v>
      </c>
      <c r="H7" s="190">
        <v>0</v>
      </c>
      <c r="I7" s="218">
        <v>0</v>
      </c>
    </row>
    <row r="8" spans="1:9" ht="21.95" customHeight="1" x14ac:dyDescent="0.25">
      <c r="A8" s="164" t="s">
        <v>139</v>
      </c>
      <c r="B8" s="165">
        <v>0</v>
      </c>
      <c r="C8" s="165">
        <v>0</v>
      </c>
      <c r="D8" s="109">
        <v>0</v>
      </c>
      <c r="E8" s="166">
        <v>0</v>
      </c>
      <c r="F8" s="166">
        <f>SUM(G8:I8)</f>
        <v>0</v>
      </c>
      <c r="G8" s="166">
        <v>0</v>
      </c>
      <c r="H8" s="166">
        <v>0</v>
      </c>
      <c r="I8" s="168">
        <v>0</v>
      </c>
    </row>
    <row r="9" spans="1:9" ht="21.95" customHeight="1" x14ac:dyDescent="0.25">
      <c r="A9" s="187" t="s">
        <v>140</v>
      </c>
      <c r="B9" s="188">
        <v>0</v>
      </c>
      <c r="C9" s="188">
        <v>0</v>
      </c>
      <c r="D9" s="189">
        <v>0</v>
      </c>
      <c r="E9" s="190">
        <v>0</v>
      </c>
      <c r="F9" s="190">
        <f>SUM(G9:I9)</f>
        <v>1117</v>
      </c>
      <c r="G9" s="190">
        <v>1117</v>
      </c>
      <c r="H9" s="190">
        <v>0</v>
      </c>
      <c r="I9" s="218">
        <v>0</v>
      </c>
    </row>
    <row r="10" spans="1:9" ht="21.9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 t="shared" ref="F11:F18" si="0">SUM(G11:I11)</f>
        <v>0</v>
      </c>
      <c r="G11" s="433">
        <f>SUM(G12)</f>
        <v>0</v>
      </c>
      <c r="H11" s="433">
        <f t="shared" ref="H11:I11" si="1">SUM(H12)</f>
        <v>0</v>
      </c>
      <c r="I11" s="434">
        <f t="shared" si="1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>
        <f t="shared" si="0"/>
        <v>0</v>
      </c>
      <c r="G12" s="189"/>
      <c r="H12" s="189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 t="shared" si="0"/>
        <v>16000</v>
      </c>
      <c r="G13" s="433">
        <f>SUM(G14:G15)</f>
        <v>16000</v>
      </c>
      <c r="H13" s="433">
        <f>SUM(H14:H15)</f>
        <v>0</v>
      </c>
      <c r="I13" s="434">
        <f t="shared" ref="I13" si="2">SUM(I14:I15)</f>
        <v>0</v>
      </c>
    </row>
    <row r="14" spans="1:9" ht="21.75" customHeight="1" x14ac:dyDescent="0.25">
      <c r="A14" s="201" t="s">
        <v>231</v>
      </c>
      <c r="B14" s="197"/>
      <c r="C14" s="197"/>
      <c r="D14" s="199"/>
      <c r="E14" s="199"/>
      <c r="F14" s="189">
        <f t="shared" si="0"/>
        <v>6000</v>
      </c>
      <c r="G14" s="189">
        <v>6000</v>
      </c>
      <c r="H14" s="189"/>
      <c r="I14" s="194"/>
    </row>
    <row r="15" spans="1:9" ht="21.75" customHeight="1" x14ac:dyDescent="0.25">
      <c r="A15" s="187" t="s">
        <v>334</v>
      </c>
      <c r="B15" s="188"/>
      <c r="C15" s="188"/>
      <c r="D15" s="189"/>
      <c r="E15" s="189"/>
      <c r="F15" s="189">
        <f t="shared" si="0"/>
        <v>10000</v>
      </c>
      <c r="G15" s="189">
        <v>10000</v>
      </c>
      <c r="H15" s="189"/>
      <c r="I15" s="194"/>
    </row>
    <row r="16" spans="1:9" ht="21.75" customHeight="1" x14ac:dyDescent="0.25">
      <c r="A16" s="431" t="s">
        <v>136</v>
      </c>
      <c r="B16" s="432"/>
      <c r="C16" s="432"/>
      <c r="D16" s="433"/>
      <c r="E16" s="433"/>
      <c r="F16" s="433">
        <f t="shared" si="0"/>
        <v>18324</v>
      </c>
      <c r="G16" s="433">
        <f>SUM(G17:G19)</f>
        <v>18324</v>
      </c>
      <c r="H16" s="433">
        <f>SUM(H17:H19)</f>
        <v>0</v>
      </c>
      <c r="I16" s="434">
        <f>SUM(I17:I19)</f>
        <v>0</v>
      </c>
    </row>
    <row r="17" spans="1:9" ht="21.75" customHeight="1" x14ac:dyDescent="0.25">
      <c r="A17" s="187" t="s">
        <v>232</v>
      </c>
      <c r="B17" s="188"/>
      <c r="C17" s="188"/>
      <c r="D17" s="189"/>
      <c r="E17" s="189"/>
      <c r="F17" s="189">
        <f t="shared" si="0"/>
        <v>2923</v>
      </c>
      <c r="G17" s="189">
        <v>2923</v>
      </c>
      <c r="H17" s="189"/>
      <c r="I17" s="194"/>
    </row>
    <row r="18" spans="1:9" ht="21.75" customHeight="1" x14ac:dyDescent="0.25">
      <c r="A18" s="164" t="s">
        <v>197</v>
      </c>
      <c r="B18" s="165"/>
      <c r="C18" s="165"/>
      <c r="D18" s="109"/>
      <c r="E18" s="109"/>
      <c r="F18" s="109">
        <f t="shared" si="0"/>
        <v>15401</v>
      </c>
      <c r="G18" s="109">
        <v>15401</v>
      </c>
      <c r="H18" s="109"/>
      <c r="I18" s="125"/>
    </row>
    <row r="19" spans="1:9" ht="21.75" customHeight="1" thickBot="1" x14ac:dyDescent="0.3">
      <c r="A19" s="331"/>
      <c r="B19" s="332"/>
      <c r="C19" s="332"/>
      <c r="D19" s="132"/>
      <c r="E19" s="132"/>
      <c r="F19" s="132"/>
      <c r="G19" s="132"/>
      <c r="H19" s="132"/>
      <c r="I19" s="135"/>
    </row>
    <row r="20" spans="1:9" ht="21.75" customHeight="1" thickBot="1" x14ac:dyDescent="0.3">
      <c r="A20" s="428" t="s">
        <v>100</v>
      </c>
      <c r="B20" s="429" t="e">
        <f>B6+B11+B13</f>
        <v>#REF!</v>
      </c>
      <c r="C20" s="429" t="e">
        <f>C6+C11+C13</f>
        <v>#REF!</v>
      </c>
      <c r="D20" s="429" t="e">
        <f>D6+D11+D13</f>
        <v>#REF!</v>
      </c>
      <c r="E20" s="430" t="e">
        <f>E6+E11+E13</f>
        <v>#REF!</v>
      </c>
      <c r="F20" s="437">
        <f>F6+F11+F13+F16</f>
        <v>74324</v>
      </c>
      <c r="G20" s="437">
        <f>G6+G11+G13+G16</f>
        <v>74324</v>
      </c>
      <c r="H20" s="437">
        <f>H6+H11+H13+H16</f>
        <v>0</v>
      </c>
      <c r="I20" s="437">
        <f>I6+I11+I13+I16</f>
        <v>0</v>
      </c>
    </row>
    <row r="22" spans="1:9" ht="15.75" customHeight="1" x14ac:dyDescent="0.25">
      <c r="A22" s="156"/>
      <c r="B22" s="156"/>
      <c r="C22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276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35" t="s">
        <v>15</v>
      </c>
      <c r="B6" s="433">
        <f>SUM(B7:B9)</f>
        <v>0</v>
      </c>
      <c r="C6" s="433">
        <f>SUM(C7:C9)</f>
        <v>0</v>
      </c>
      <c r="D6" s="433">
        <f>SUM(D7:D9)</f>
        <v>0</v>
      </c>
      <c r="E6" s="433">
        <f>SUM(E7:E9)</f>
        <v>0</v>
      </c>
      <c r="F6" s="433">
        <f>SUM(G6:I6)</f>
        <v>49662</v>
      </c>
      <c r="G6" s="433">
        <f>SUM(G7:G9)</f>
        <v>49662</v>
      </c>
      <c r="H6" s="433">
        <f>SUM(H7:H9)</f>
        <v>0</v>
      </c>
      <c r="I6" s="434">
        <f>SUM(I7:I9)</f>
        <v>0</v>
      </c>
    </row>
    <row r="7" spans="1:9" ht="21.95" customHeight="1" x14ac:dyDescent="0.25">
      <c r="A7" s="187" t="s">
        <v>138</v>
      </c>
      <c r="B7" s="188">
        <v>0</v>
      </c>
      <c r="C7" s="188">
        <v>0</v>
      </c>
      <c r="D7" s="189">
        <v>0</v>
      </c>
      <c r="E7" s="190">
        <v>0</v>
      </c>
      <c r="F7" s="190">
        <f>SUM(G7:I7)</f>
        <v>40000</v>
      </c>
      <c r="G7" s="190">
        <v>40000</v>
      </c>
      <c r="H7" s="190">
        <v>0</v>
      </c>
      <c r="I7" s="218">
        <v>0</v>
      </c>
    </row>
    <row r="8" spans="1:9" ht="21.95" customHeight="1" x14ac:dyDescent="0.25">
      <c r="A8" s="164" t="s">
        <v>139</v>
      </c>
      <c r="B8" s="165">
        <v>0</v>
      </c>
      <c r="C8" s="165">
        <v>0</v>
      </c>
      <c r="D8" s="109">
        <v>0</v>
      </c>
      <c r="E8" s="166">
        <v>0</v>
      </c>
      <c r="F8" s="166">
        <f>SUM(G8:I8)</f>
        <v>3901</v>
      </c>
      <c r="G8" s="166">
        <v>3901</v>
      </c>
      <c r="H8" s="166">
        <v>0</v>
      </c>
      <c r="I8" s="168">
        <v>0</v>
      </c>
    </row>
    <row r="9" spans="1:9" ht="21.95" customHeight="1" x14ac:dyDescent="0.25">
      <c r="A9" s="187" t="s">
        <v>140</v>
      </c>
      <c r="B9" s="188">
        <v>0</v>
      </c>
      <c r="C9" s="188">
        <v>0</v>
      </c>
      <c r="D9" s="189">
        <v>0</v>
      </c>
      <c r="E9" s="190">
        <v>0</v>
      </c>
      <c r="F9" s="190">
        <f>SUM(G9:I9)</f>
        <v>5761</v>
      </c>
      <c r="G9" s="190">
        <v>5761</v>
      </c>
      <c r="H9" s="190">
        <v>0</v>
      </c>
      <c r="I9" s="218">
        <v>0</v>
      </c>
    </row>
    <row r="10" spans="1:9" ht="21.9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0">SUM(H12)</f>
        <v>0</v>
      </c>
      <c r="I11" s="434">
        <f t="shared" si="0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>SUM(G13:I13)</f>
        <v>55000</v>
      </c>
      <c r="G13" s="433">
        <f>SUM(G14:G15)</f>
        <v>55000</v>
      </c>
      <c r="H13" s="433">
        <f>SUM(H14:H15)</f>
        <v>0</v>
      </c>
      <c r="I13" s="434">
        <f>SUM(I14:I15)</f>
        <v>0</v>
      </c>
    </row>
    <row r="14" spans="1:9" ht="21.95" customHeight="1" x14ac:dyDescent="0.25">
      <c r="A14" s="201" t="s">
        <v>231</v>
      </c>
      <c r="B14" s="190"/>
      <c r="C14" s="190"/>
      <c r="D14" s="189"/>
      <c r="E14" s="189"/>
      <c r="F14" s="189">
        <f>SUM(G14:I14)</f>
        <v>50000</v>
      </c>
      <c r="G14" s="189">
        <v>50000</v>
      </c>
      <c r="H14" s="189">
        <v>0</v>
      </c>
      <c r="I14" s="194">
        <v>0</v>
      </c>
    </row>
    <row r="15" spans="1:9" ht="21.95" customHeight="1" x14ac:dyDescent="0.25">
      <c r="A15" s="533" t="s">
        <v>556</v>
      </c>
      <c r="B15" s="534"/>
      <c r="C15" s="534"/>
      <c r="D15" s="528"/>
      <c r="E15" s="528"/>
      <c r="F15" s="528">
        <f>SUM(G15:I15)</f>
        <v>5000</v>
      </c>
      <c r="G15" s="528">
        <v>5000</v>
      </c>
      <c r="H15" s="528">
        <v>0</v>
      </c>
      <c r="I15" s="529">
        <v>0</v>
      </c>
    </row>
    <row r="16" spans="1:9" ht="21.95" customHeight="1" x14ac:dyDescent="0.25">
      <c r="A16" s="431" t="s">
        <v>136</v>
      </c>
      <c r="B16" s="432"/>
      <c r="C16" s="432"/>
      <c r="D16" s="433"/>
      <c r="E16" s="433"/>
      <c r="F16" s="433">
        <f>SUM(G16:I16)</f>
        <v>30000</v>
      </c>
      <c r="G16" s="433">
        <f>SUM(G17)</f>
        <v>30000</v>
      </c>
      <c r="H16" s="433">
        <f>SUM(H17)</f>
        <v>0</v>
      </c>
      <c r="I16" s="434">
        <f>SUM(I17)</f>
        <v>0</v>
      </c>
    </row>
    <row r="17" spans="1:9" ht="21.95" customHeight="1" x14ac:dyDescent="0.25">
      <c r="A17" s="187" t="s">
        <v>200</v>
      </c>
      <c r="B17" s="188"/>
      <c r="C17" s="188"/>
      <c r="D17" s="189"/>
      <c r="E17" s="189"/>
      <c r="F17" s="189">
        <f>SUM(G17:I17)</f>
        <v>30000</v>
      </c>
      <c r="G17" s="189">
        <v>30000</v>
      </c>
      <c r="H17" s="189">
        <v>0</v>
      </c>
      <c r="I17" s="194">
        <v>0</v>
      </c>
    </row>
    <row r="18" spans="1:9" ht="21.95" customHeight="1" thickBot="1" x14ac:dyDescent="0.3">
      <c r="A18" s="330"/>
      <c r="B18" s="224"/>
      <c r="C18" s="224"/>
      <c r="D18" s="132"/>
      <c r="E18" s="132"/>
      <c r="F18" s="132"/>
      <c r="G18" s="132"/>
      <c r="H18" s="132"/>
      <c r="I18" s="135"/>
    </row>
    <row r="19" spans="1:9" ht="21.95" customHeight="1" thickBot="1" x14ac:dyDescent="0.3">
      <c r="A19" s="428" t="s">
        <v>100</v>
      </c>
      <c r="B19" s="429" t="e">
        <f>B6+B11+B13</f>
        <v>#REF!</v>
      </c>
      <c r="C19" s="429" t="e">
        <f>C6+C11+C13</f>
        <v>#REF!</v>
      </c>
      <c r="D19" s="429" t="e">
        <f>D6+D11+D13</f>
        <v>#REF!</v>
      </c>
      <c r="E19" s="430" t="e">
        <f>E6+E11+E13</f>
        <v>#REF!</v>
      </c>
      <c r="F19" s="437">
        <f>F6+F11+F13+F16</f>
        <v>134662</v>
      </c>
      <c r="G19" s="437">
        <f>G6+G11+G13+G16</f>
        <v>134662</v>
      </c>
      <c r="H19" s="437">
        <f>H6+H11+H13+H16</f>
        <v>0</v>
      </c>
      <c r="I19" s="437">
        <f>I6+I11+I13+I16</f>
        <v>0</v>
      </c>
    </row>
    <row r="21" spans="1:9" ht="15.75" customHeight="1" x14ac:dyDescent="0.25">
      <c r="A21" s="156"/>
      <c r="B21" s="156"/>
      <c r="C21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12" ht="21.95" customHeight="1" x14ac:dyDescent="0.25">
      <c r="A1" s="918" t="s">
        <v>277</v>
      </c>
      <c r="B1" s="919"/>
      <c r="C1" s="919"/>
      <c r="D1" s="919"/>
      <c r="E1" s="919"/>
      <c r="F1" s="919"/>
      <c r="G1" s="919"/>
      <c r="H1" s="919"/>
      <c r="I1" s="920"/>
    </row>
    <row r="2" spans="1:12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12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12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12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12" ht="21.95" customHeight="1" x14ac:dyDescent="0.25">
      <c r="A6" s="435" t="s">
        <v>15</v>
      </c>
      <c r="B6" s="433">
        <f>SUM(B7:B9)</f>
        <v>0</v>
      </c>
      <c r="C6" s="433">
        <f>SUM(C7:C9)</f>
        <v>0</v>
      </c>
      <c r="D6" s="433">
        <f>SUM(D7:D9)</f>
        <v>0</v>
      </c>
      <c r="E6" s="433">
        <f>SUM(E7:E9)</f>
        <v>0</v>
      </c>
      <c r="F6" s="433">
        <f>SUM(G6:I6)</f>
        <v>132340</v>
      </c>
      <c r="G6" s="433">
        <f>SUM(G7:G9)</f>
        <v>132340</v>
      </c>
      <c r="H6" s="433">
        <f>SUM(H7:H9)</f>
        <v>0</v>
      </c>
      <c r="I6" s="434">
        <f>SUM(I7:I9)</f>
        <v>0</v>
      </c>
    </row>
    <row r="7" spans="1:12" ht="21.95" customHeight="1" x14ac:dyDescent="0.25">
      <c r="A7" s="187" t="s">
        <v>138</v>
      </c>
      <c r="B7" s="188">
        <v>0</v>
      </c>
      <c r="C7" s="188">
        <v>0</v>
      </c>
      <c r="D7" s="189">
        <v>0</v>
      </c>
      <c r="E7" s="190">
        <v>0</v>
      </c>
      <c r="F7" s="190">
        <f>SUM(G7:I7)</f>
        <v>36873</v>
      </c>
      <c r="G7" s="190">
        <v>36873</v>
      </c>
      <c r="H7" s="190">
        <v>0</v>
      </c>
      <c r="I7" s="218">
        <v>0</v>
      </c>
    </row>
    <row r="8" spans="1:12" ht="21.95" customHeight="1" x14ac:dyDescent="0.25">
      <c r="A8" s="164" t="s">
        <v>139</v>
      </c>
      <c r="B8" s="165">
        <v>0</v>
      </c>
      <c r="C8" s="165">
        <v>0</v>
      </c>
      <c r="D8" s="109">
        <v>0</v>
      </c>
      <c r="E8" s="166">
        <v>0</v>
      </c>
      <c r="F8" s="166">
        <f>SUM(G8:I8)</f>
        <v>3467</v>
      </c>
      <c r="G8" s="166">
        <v>3467</v>
      </c>
      <c r="H8" s="166">
        <v>0</v>
      </c>
      <c r="I8" s="168">
        <v>0</v>
      </c>
    </row>
    <row r="9" spans="1:12" ht="21.95" customHeight="1" x14ac:dyDescent="0.25">
      <c r="A9" s="187" t="s">
        <v>140</v>
      </c>
      <c r="B9" s="188">
        <v>0</v>
      </c>
      <c r="C9" s="188">
        <v>0</v>
      </c>
      <c r="D9" s="189">
        <v>0</v>
      </c>
      <c r="E9" s="190">
        <v>0</v>
      </c>
      <c r="F9" s="190">
        <f>SUM(G9:I9)</f>
        <v>92000</v>
      </c>
      <c r="G9" s="190">
        <v>92000</v>
      </c>
      <c r="H9" s="190">
        <v>0</v>
      </c>
      <c r="I9" s="218">
        <v>0</v>
      </c>
      <c r="L9" s="5"/>
    </row>
    <row r="10" spans="1:12" ht="21.9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12" ht="21.9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0">SUM(H12)</f>
        <v>0</v>
      </c>
      <c r="I11" s="434">
        <f t="shared" si="0"/>
        <v>0</v>
      </c>
      <c r="L11" s="5"/>
    </row>
    <row r="12" spans="1:12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12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>SUM(G13:I13)</f>
        <v>0</v>
      </c>
      <c r="G13" s="433">
        <f>SUM(G14:G14)</f>
        <v>0</v>
      </c>
      <c r="H13" s="433">
        <f>SUM(H14:H14)</f>
        <v>0</v>
      </c>
      <c r="I13" s="434">
        <f>SUM(I14:I14)</f>
        <v>0</v>
      </c>
    </row>
    <row r="14" spans="1:12" ht="21.95" customHeight="1" x14ac:dyDescent="0.25">
      <c r="A14" s="533"/>
      <c r="B14" s="534"/>
      <c r="C14" s="534"/>
      <c r="D14" s="528"/>
      <c r="E14" s="528"/>
      <c r="F14" s="528">
        <f>SUM(G14:I14)</f>
        <v>0</v>
      </c>
      <c r="G14" s="528"/>
      <c r="H14" s="109"/>
      <c r="I14" s="125"/>
    </row>
    <row r="15" spans="1:12" ht="21.95" customHeight="1" x14ac:dyDescent="0.25">
      <c r="A15" s="431" t="s">
        <v>136</v>
      </c>
      <c r="B15" s="432"/>
      <c r="C15" s="432"/>
      <c r="D15" s="433"/>
      <c r="E15" s="433"/>
      <c r="F15" s="433">
        <f>SUM(G15:I15)</f>
        <v>0</v>
      </c>
      <c r="G15" s="433">
        <f>SUM(G16:G16)</f>
        <v>0</v>
      </c>
      <c r="H15" s="433">
        <f>SUM(H16:H16)</f>
        <v>0</v>
      </c>
      <c r="I15" s="434">
        <f>SUM(I16:I16)</f>
        <v>0</v>
      </c>
    </row>
    <row r="16" spans="1:12" ht="21.95" customHeight="1" thickBot="1" x14ac:dyDescent="0.3">
      <c r="A16" s="330"/>
      <c r="B16" s="224"/>
      <c r="C16" s="224"/>
      <c r="D16" s="132"/>
      <c r="E16" s="132"/>
      <c r="F16" s="132"/>
      <c r="G16" s="132"/>
      <c r="H16" s="132"/>
      <c r="I16" s="135"/>
    </row>
    <row r="17" spans="1:9" ht="21.95" customHeight="1" thickBot="1" x14ac:dyDescent="0.3">
      <c r="A17" s="428" t="s">
        <v>100</v>
      </c>
      <c r="B17" s="429" t="e">
        <f>B6+B11+B13</f>
        <v>#REF!</v>
      </c>
      <c r="C17" s="429" t="e">
        <f>C6+C11+C13</f>
        <v>#REF!</v>
      </c>
      <c r="D17" s="429" t="e">
        <f>D6+D11+D13</f>
        <v>#REF!</v>
      </c>
      <c r="E17" s="430" t="e">
        <f>E6+E11+E13</f>
        <v>#REF!</v>
      </c>
      <c r="F17" s="437">
        <f>F6+F11+F13+F15</f>
        <v>132340</v>
      </c>
      <c r="G17" s="437">
        <f>G6+G11+G13+G15</f>
        <v>132340</v>
      </c>
      <c r="H17" s="437">
        <f>H6+H11+H13+H15</f>
        <v>0</v>
      </c>
      <c r="I17" s="437">
        <f>I6+I11+I13+I15</f>
        <v>0</v>
      </c>
    </row>
    <row r="19" spans="1:9" ht="15.75" customHeight="1" x14ac:dyDescent="0.25">
      <c r="A19" s="156"/>
      <c r="B19" s="156"/>
      <c r="C19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pane ySplit="4" topLeftCell="A5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278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35" t="s">
        <v>15</v>
      </c>
      <c r="B6" s="433">
        <f>SUM(B7:B9)</f>
        <v>0</v>
      </c>
      <c r="C6" s="433">
        <f>SUM(C7:C9)</f>
        <v>0</v>
      </c>
      <c r="D6" s="433">
        <f>SUM(D7:D9)</f>
        <v>0</v>
      </c>
      <c r="E6" s="433">
        <f>SUM(E7:E9)</f>
        <v>0</v>
      </c>
      <c r="F6" s="433">
        <f t="shared" ref="F6:F13" si="0">SUM(G6:I6)</f>
        <v>21537</v>
      </c>
      <c r="G6" s="433">
        <f>SUM(G7:G10)</f>
        <v>21537</v>
      </c>
      <c r="H6" s="433">
        <f>SUM(H7:H9)</f>
        <v>0</v>
      </c>
      <c r="I6" s="434">
        <f>SUM(I7:I9)</f>
        <v>0</v>
      </c>
    </row>
    <row r="7" spans="1:9" ht="21.95" customHeight="1" x14ac:dyDescent="0.25">
      <c r="A7" s="187" t="s">
        <v>138</v>
      </c>
      <c r="B7" s="188">
        <v>0</v>
      </c>
      <c r="C7" s="188">
        <v>0</v>
      </c>
      <c r="D7" s="189">
        <v>0</v>
      </c>
      <c r="E7" s="190">
        <v>0</v>
      </c>
      <c r="F7" s="190">
        <f t="shared" si="0"/>
        <v>13984</v>
      </c>
      <c r="G7" s="190">
        <v>13984</v>
      </c>
      <c r="H7" s="190">
        <v>0</v>
      </c>
      <c r="I7" s="218">
        <v>0</v>
      </c>
    </row>
    <row r="8" spans="1:9" ht="21.95" customHeight="1" x14ac:dyDescent="0.25">
      <c r="A8" s="164" t="s">
        <v>139</v>
      </c>
      <c r="B8" s="165">
        <v>0</v>
      </c>
      <c r="C8" s="165">
        <v>0</v>
      </c>
      <c r="D8" s="109">
        <v>0</v>
      </c>
      <c r="E8" s="166">
        <v>0</v>
      </c>
      <c r="F8" s="166">
        <f t="shared" si="0"/>
        <v>2302</v>
      </c>
      <c r="G8" s="166">
        <f>2520-218</f>
        <v>2302</v>
      </c>
      <c r="H8" s="166">
        <v>0</v>
      </c>
      <c r="I8" s="168">
        <v>0</v>
      </c>
    </row>
    <row r="9" spans="1:9" ht="21.95" customHeight="1" x14ac:dyDescent="0.25">
      <c r="A9" s="187" t="s">
        <v>140</v>
      </c>
      <c r="B9" s="188">
        <v>0</v>
      </c>
      <c r="C9" s="188">
        <v>0</v>
      </c>
      <c r="D9" s="189">
        <v>0</v>
      </c>
      <c r="E9" s="190">
        <v>0</v>
      </c>
      <c r="F9" s="190">
        <f t="shared" si="0"/>
        <v>2814</v>
      </c>
      <c r="G9" s="190">
        <f>3033-219</f>
        <v>2814</v>
      </c>
      <c r="H9" s="190">
        <v>0</v>
      </c>
      <c r="I9" s="218">
        <v>0</v>
      </c>
    </row>
    <row r="10" spans="1:9" ht="21.95" customHeight="1" x14ac:dyDescent="0.25">
      <c r="A10" s="201" t="s">
        <v>581</v>
      </c>
      <c r="B10" s="193"/>
      <c r="C10" s="193"/>
      <c r="D10" s="189"/>
      <c r="E10" s="189"/>
      <c r="F10" s="190">
        <f t="shared" si="0"/>
        <v>2437</v>
      </c>
      <c r="G10" s="189">
        <v>2437</v>
      </c>
      <c r="H10" s="189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 t="shared" si="0"/>
        <v>0</v>
      </c>
      <c r="G11" s="433">
        <f>SUM(G12)</f>
        <v>0</v>
      </c>
      <c r="H11" s="433">
        <f t="shared" ref="H11:I11" si="1">SUM(H12)</f>
        <v>0</v>
      </c>
      <c r="I11" s="434">
        <f t="shared" si="1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>
        <f t="shared" si="0"/>
        <v>0</v>
      </c>
      <c r="G12" s="189"/>
      <c r="H12" s="189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 t="shared" si="0"/>
        <v>0</v>
      </c>
      <c r="G13" s="433">
        <f>SUM(G14)</f>
        <v>0</v>
      </c>
      <c r="H13" s="433">
        <f t="shared" ref="H13:I13" si="2">SUM(H14)</f>
        <v>0</v>
      </c>
      <c r="I13" s="434">
        <f t="shared" si="2"/>
        <v>0</v>
      </c>
    </row>
    <row r="14" spans="1:9" ht="21.95" customHeight="1" x14ac:dyDescent="0.25">
      <c r="A14" s="164"/>
      <c r="B14" s="165"/>
      <c r="C14" s="165"/>
      <c r="D14" s="189"/>
      <c r="E14" s="189"/>
      <c r="F14" s="189">
        <f>SUM(G14:I14)</f>
        <v>0</v>
      </c>
      <c r="G14" s="189"/>
      <c r="H14" s="189"/>
      <c r="I14" s="194"/>
    </row>
    <row r="15" spans="1:9" ht="21.95" customHeight="1" x14ac:dyDescent="0.25">
      <c r="A15" s="431" t="s">
        <v>136</v>
      </c>
      <c r="B15" s="432"/>
      <c r="C15" s="432"/>
      <c r="D15" s="433"/>
      <c r="E15" s="433"/>
      <c r="F15" s="433">
        <f>SUM(G15:I15)</f>
        <v>11000</v>
      </c>
      <c r="G15" s="433">
        <f>SUM(G16:G17)</f>
        <v>11000</v>
      </c>
      <c r="H15" s="433">
        <f>SUM(H16:H17)</f>
        <v>0</v>
      </c>
      <c r="I15" s="434">
        <f>SUM(I16:I17)</f>
        <v>0</v>
      </c>
    </row>
    <row r="16" spans="1:9" ht="30.75" customHeight="1" x14ac:dyDescent="0.25">
      <c r="A16" s="333" t="s">
        <v>233</v>
      </c>
      <c r="B16" s="188"/>
      <c r="C16" s="188"/>
      <c r="D16" s="189"/>
      <c r="E16" s="189"/>
      <c r="F16" s="189">
        <f>SUM(G16:I16)</f>
        <v>11000</v>
      </c>
      <c r="G16" s="189">
        <v>11000</v>
      </c>
      <c r="H16" s="189"/>
      <c r="I16" s="194"/>
    </row>
    <row r="17" spans="1:9" ht="21.75" customHeight="1" thickBot="1" x14ac:dyDescent="0.3">
      <c r="A17" s="334"/>
      <c r="B17" s="327"/>
      <c r="C17" s="327"/>
      <c r="D17" s="206"/>
      <c r="E17" s="206"/>
      <c r="F17" s="206"/>
      <c r="G17" s="206"/>
      <c r="H17" s="206"/>
      <c r="I17" s="207"/>
    </row>
    <row r="18" spans="1:9" ht="21.75" customHeight="1" thickBot="1" x14ac:dyDescent="0.3">
      <c r="A18" s="428" t="s">
        <v>100</v>
      </c>
      <c r="B18" s="429" t="e">
        <f>B6+B11+B13</f>
        <v>#REF!</v>
      </c>
      <c r="C18" s="429" t="e">
        <f>C6+C11+C13</f>
        <v>#REF!</v>
      </c>
      <c r="D18" s="429" t="e">
        <f>D6+D11+D13</f>
        <v>#REF!</v>
      </c>
      <c r="E18" s="430" t="e">
        <f>E6+E11+E13</f>
        <v>#REF!</v>
      </c>
      <c r="F18" s="437">
        <f>F6+F11+F13+F15</f>
        <v>32537</v>
      </c>
      <c r="G18" s="437">
        <f>G6+G11+G13+G15</f>
        <v>32537</v>
      </c>
      <c r="H18" s="437">
        <f>H6+H11+H13+H15</f>
        <v>0</v>
      </c>
      <c r="I18" s="437">
        <f>I6+I11+I13+I15</f>
        <v>0</v>
      </c>
    </row>
    <row r="20" spans="1:9" ht="15.75" customHeight="1" x14ac:dyDescent="0.25">
      <c r="A20" s="156"/>
      <c r="B20" s="156"/>
      <c r="C20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pane ySplit="4" topLeftCell="A11" activePane="bottomLeft" state="frozen"/>
      <selection activeCell="C31" sqref="C31"/>
      <selection pane="bottomLeft" activeCell="C31" sqref="C31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140625" hidden="1" customWidth="1"/>
    <col min="5" max="5" width="9.7109375" hidden="1" customWidth="1"/>
    <col min="6" max="6" width="13.42578125" bestFit="1" customWidth="1"/>
  </cols>
  <sheetData>
    <row r="1" spans="1:9" ht="21.95" customHeight="1" x14ac:dyDescent="0.25">
      <c r="A1" s="918" t="s">
        <v>279</v>
      </c>
      <c r="B1" s="919"/>
      <c r="C1" s="919"/>
      <c r="D1" s="919"/>
      <c r="E1" s="919"/>
      <c r="F1" s="919"/>
      <c r="G1" s="919"/>
      <c r="H1" s="919"/>
      <c r="I1" s="920"/>
    </row>
    <row r="2" spans="1:9" ht="21.95" customHeight="1" thickBot="1" x14ac:dyDescent="0.3">
      <c r="A2" s="922" t="s">
        <v>0</v>
      </c>
      <c r="B2" s="923"/>
      <c r="C2" s="923"/>
      <c r="D2" s="923"/>
      <c r="E2" s="923"/>
      <c r="F2" s="923"/>
      <c r="G2" s="923"/>
      <c r="H2" s="923"/>
      <c r="I2" s="924"/>
    </row>
    <row r="3" spans="1:9" ht="21.95" customHeight="1" thickBot="1" x14ac:dyDescent="0.3">
      <c r="A3" s="894" t="s">
        <v>1</v>
      </c>
      <c r="B3" s="896">
        <v>2010</v>
      </c>
      <c r="C3" s="897"/>
      <c r="D3" s="896">
        <v>2011</v>
      </c>
      <c r="E3" s="897"/>
      <c r="F3" s="898" t="s">
        <v>343</v>
      </c>
      <c r="G3" s="899"/>
      <c r="H3" s="899"/>
      <c r="I3" s="900"/>
    </row>
    <row r="4" spans="1:9" ht="21.95" customHeight="1" thickBot="1" x14ac:dyDescent="0.3">
      <c r="A4" s="895"/>
      <c r="B4" s="2" t="s">
        <v>3</v>
      </c>
      <c r="C4" s="3" t="s">
        <v>4</v>
      </c>
      <c r="D4" s="2" t="s">
        <v>3</v>
      </c>
      <c r="E4" s="3" t="s">
        <v>4</v>
      </c>
      <c r="F4" s="72" t="s">
        <v>5</v>
      </c>
      <c r="G4" s="95" t="s">
        <v>6</v>
      </c>
      <c r="H4" s="95" t="s">
        <v>7</v>
      </c>
      <c r="I4" s="95" t="s">
        <v>8</v>
      </c>
    </row>
    <row r="5" spans="1:9" ht="21.95" customHeight="1" x14ac:dyDescent="0.25">
      <c r="A5" s="118"/>
      <c r="B5" s="186"/>
      <c r="C5" s="186"/>
      <c r="D5" s="120"/>
      <c r="E5" s="120"/>
      <c r="F5" s="120"/>
      <c r="G5" s="120"/>
      <c r="H5" s="120"/>
      <c r="I5" s="122"/>
    </row>
    <row r="6" spans="1:9" ht="21.95" customHeight="1" x14ac:dyDescent="0.25">
      <c r="A6" s="435" t="s">
        <v>15</v>
      </c>
      <c r="B6" s="433">
        <f>SUM(B7:B9)</f>
        <v>0</v>
      </c>
      <c r="C6" s="433">
        <f>SUM(C7:C9)</f>
        <v>0</v>
      </c>
      <c r="D6" s="433">
        <f>SUM(D7:D9)</f>
        <v>0</v>
      </c>
      <c r="E6" s="433">
        <f>SUM(E7:E9)</f>
        <v>0</v>
      </c>
      <c r="F6" s="433">
        <f>SUM(G6:I6)</f>
        <v>38822</v>
      </c>
      <c r="G6" s="433">
        <f>SUM(G7:G9)</f>
        <v>38822</v>
      </c>
      <c r="H6" s="433">
        <f>SUM(H7:H9)</f>
        <v>0</v>
      </c>
      <c r="I6" s="434">
        <f>SUM(I7:I9)</f>
        <v>0</v>
      </c>
    </row>
    <row r="7" spans="1:9" ht="21.95" customHeight="1" x14ac:dyDescent="0.25">
      <c r="A7" s="187" t="s">
        <v>138</v>
      </c>
      <c r="B7" s="188">
        <v>0</v>
      </c>
      <c r="C7" s="188">
        <v>0</v>
      </c>
      <c r="D7" s="189">
        <v>0</v>
      </c>
      <c r="E7" s="190">
        <v>0</v>
      </c>
      <c r="F7" s="190">
        <f>SUM(G7:I7)</f>
        <v>33055</v>
      </c>
      <c r="G7" s="190">
        <v>33055</v>
      </c>
      <c r="H7" s="190"/>
      <c r="I7" s="218"/>
    </row>
    <row r="8" spans="1:9" ht="21.95" customHeight="1" x14ac:dyDescent="0.25">
      <c r="A8" s="164" t="s">
        <v>139</v>
      </c>
      <c r="B8" s="165">
        <v>0</v>
      </c>
      <c r="C8" s="165">
        <v>0</v>
      </c>
      <c r="D8" s="109">
        <v>0</v>
      </c>
      <c r="E8" s="166">
        <v>0</v>
      </c>
      <c r="F8" s="166">
        <f>SUM(G8:I8)</f>
        <v>2155</v>
      </c>
      <c r="G8" s="166">
        <v>2155</v>
      </c>
      <c r="H8" s="166"/>
      <c r="I8" s="168"/>
    </row>
    <row r="9" spans="1:9" ht="21.95" customHeight="1" x14ac:dyDescent="0.25">
      <c r="A9" s="187" t="s">
        <v>140</v>
      </c>
      <c r="B9" s="188">
        <v>0</v>
      </c>
      <c r="C9" s="188">
        <v>0</v>
      </c>
      <c r="D9" s="189">
        <v>0</v>
      </c>
      <c r="E9" s="190">
        <v>0</v>
      </c>
      <c r="F9" s="190">
        <f>SUM(G9:I9)</f>
        <v>3612</v>
      </c>
      <c r="G9" s="190">
        <v>3612</v>
      </c>
      <c r="H9" s="190"/>
      <c r="I9" s="218"/>
    </row>
    <row r="10" spans="1:9" ht="21.95" customHeight="1" x14ac:dyDescent="0.25">
      <c r="A10" s="192"/>
      <c r="B10" s="193"/>
      <c r="C10" s="193"/>
      <c r="D10" s="189"/>
      <c r="E10" s="189"/>
      <c r="F10" s="189"/>
      <c r="G10" s="189"/>
      <c r="H10" s="189"/>
      <c r="I10" s="194"/>
    </row>
    <row r="11" spans="1:9" ht="21.95" customHeight="1" x14ac:dyDescent="0.25">
      <c r="A11" s="435" t="s">
        <v>141</v>
      </c>
      <c r="B11" s="436"/>
      <c r="C11" s="436"/>
      <c r="D11" s="433"/>
      <c r="E11" s="433"/>
      <c r="F11" s="433">
        <f>SUM(G11:I11)</f>
        <v>0</v>
      </c>
      <c r="G11" s="433">
        <f>SUM(G12)</f>
        <v>0</v>
      </c>
      <c r="H11" s="433">
        <f t="shared" ref="H11:I11" si="0">SUM(H12)</f>
        <v>0</v>
      </c>
      <c r="I11" s="434">
        <f t="shared" si="0"/>
        <v>0</v>
      </c>
    </row>
    <row r="12" spans="1:9" ht="21.95" customHeight="1" x14ac:dyDescent="0.25">
      <c r="A12" s="196"/>
      <c r="B12" s="197"/>
      <c r="C12" s="197"/>
      <c r="D12" s="189"/>
      <c r="E12" s="189"/>
      <c r="F12" s="189"/>
      <c r="G12" s="189"/>
      <c r="H12" s="189"/>
      <c r="I12" s="194"/>
    </row>
    <row r="13" spans="1:9" ht="21.95" customHeight="1" x14ac:dyDescent="0.25">
      <c r="A13" s="435" t="s">
        <v>142</v>
      </c>
      <c r="B13" s="433" t="e">
        <f>#REF!+#REF!+#REF!</f>
        <v>#REF!</v>
      </c>
      <c r="C13" s="433" t="e">
        <f>#REF!+#REF!+#REF!</f>
        <v>#REF!</v>
      </c>
      <c r="D13" s="433" t="e">
        <f>#REF!+#REF!+#REF!</f>
        <v>#REF!</v>
      </c>
      <c r="E13" s="433" t="e">
        <f>#REF!+#REF!+#REF!</f>
        <v>#REF!</v>
      </c>
      <c r="F13" s="433">
        <f>SUM(G13:I13)</f>
        <v>0</v>
      </c>
      <c r="G13" s="433">
        <f>G14</f>
        <v>0</v>
      </c>
      <c r="H13" s="433"/>
      <c r="I13" s="434"/>
    </row>
    <row r="14" spans="1:9" ht="21.95" customHeight="1" x14ac:dyDescent="0.25">
      <c r="A14" s="201" t="s">
        <v>286</v>
      </c>
      <c r="B14" s="197"/>
      <c r="C14" s="197"/>
      <c r="D14" s="199"/>
      <c r="E14" s="199"/>
      <c r="F14" s="189">
        <f>G14+H14+I14</f>
        <v>0</v>
      </c>
      <c r="G14" s="109"/>
      <c r="H14" s="199"/>
      <c r="I14" s="200"/>
    </row>
    <row r="15" spans="1:9" ht="21.95" customHeight="1" x14ac:dyDescent="0.25">
      <c r="A15" s="431" t="s">
        <v>136</v>
      </c>
      <c r="B15" s="432"/>
      <c r="C15" s="432"/>
      <c r="D15" s="433"/>
      <c r="E15" s="433"/>
      <c r="F15" s="433">
        <f>SUM(G15:I15)</f>
        <v>0</v>
      </c>
      <c r="G15" s="433">
        <f>SUM(G16)</f>
        <v>0</v>
      </c>
      <c r="H15" s="433">
        <f t="shared" ref="H15:I15" si="1">SUM(H16)</f>
        <v>0</v>
      </c>
      <c r="I15" s="434">
        <f t="shared" si="1"/>
        <v>0</v>
      </c>
    </row>
    <row r="16" spans="1:9" ht="21.95" customHeight="1" thickBot="1" x14ac:dyDescent="0.3">
      <c r="A16" s="230"/>
      <c r="B16" s="214"/>
      <c r="C16" s="214"/>
      <c r="D16" s="132"/>
      <c r="E16" s="132"/>
      <c r="F16" s="132"/>
      <c r="G16" s="132"/>
      <c r="H16" s="132"/>
      <c r="I16" s="135"/>
    </row>
    <row r="17" spans="1:9" ht="21.95" customHeight="1" thickBot="1" x14ac:dyDescent="0.3">
      <c r="A17" s="428" t="s">
        <v>100</v>
      </c>
      <c r="B17" s="429" t="e">
        <f>B6+B11+B13</f>
        <v>#REF!</v>
      </c>
      <c r="C17" s="429" t="e">
        <f>C6+C11+C13</f>
        <v>#REF!</v>
      </c>
      <c r="D17" s="429" t="e">
        <f>D6+D11+D13</f>
        <v>#REF!</v>
      </c>
      <c r="E17" s="430" t="e">
        <f>E6+E11+E13</f>
        <v>#REF!</v>
      </c>
      <c r="F17" s="437">
        <f>F6+F11+F13+F15</f>
        <v>38822</v>
      </c>
      <c r="G17" s="437">
        <f>G6+G11+G13+G15</f>
        <v>38822</v>
      </c>
      <c r="H17" s="437">
        <f>H6+H11+H13+H15</f>
        <v>0</v>
      </c>
      <c r="I17" s="437">
        <f>I6+I11+I13+I15</f>
        <v>0</v>
      </c>
    </row>
    <row r="19" spans="1:9" ht="15.75" customHeight="1" x14ac:dyDescent="0.25">
      <c r="A19" s="156"/>
      <c r="B19" s="156"/>
      <c r="C19" s="156"/>
    </row>
  </sheetData>
  <mergeCells count="6">
    <mergeCell ref="A1:I1"/>
    <mergeCell ref="A3:A4"/>
    <mergeCell ref="B3:C3"/>
    <mergeCell ref="D3:E3"/>
    <mergeCell ref="F3:I3"/>
    <mergeCell ref="A2:I2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23"/>
  <sheetViews>
    <sheetView workbookViewId="0">
      <selection activeCell="M14" sqref="M14"/>
    </sheetView>
  </sheetViews>
  <sheetFormatPr baseColWidth="10" defaultColWidth="11.42578125" defaultRowHeight="15" customHeight="1" x14ac:dyDescent="0.25"/>
  <sheetData>
    <row r="3" spans="4:11" ht="15" customHeight="1" x14ac:dyDescent="0.25">
      <c r="D3" s="5"/>
      <c r="E3" s="5"/>
      <c r="F3" s="5"/>
      <c r="G3" s="5"/>
      <c r="H3" s="5"/>
      <c r="I3" s="5"/>
      <c r="J3" s="5"/>
      <c r="K3" s="5"/>
    </row>
    <row r="4" spans="4:11" ht="15" customHeight="1" x14ac:dyDescent="0.25">
      <c r="D4" s="5"/>
      <c r="E4" s="5"/>
      <c r="F4" s="5"/>
      <c r="G4" s="5"/>
      <c r="H4" s="5"/>
      <c r="I4" s="5"/>
      <c r="J4" s="5"/>
      <c r="K4" s="5"/>
    </row>
    <row r="5" spans="4:11" ht="15" customHeight="1" x14ac:dyDescent="0.25">
      <c r="D5" s="5"/>
      <c r="E5" s="5"/>
      <c r="F5" s="5"/>
      <c r="G5" s="5"/>
      <c r="H5" s="5"/>
      <c r="I5" s="5"/>
      <c r="J5" s="5"/>
      <c r="K5" s="5"/>
    </row>
    <row r="6" spans="4:11" ht="15" customHeight="1" x14ac:dyDescent="0.25">
      <c r="D6" s="5"/>
      <c r="E6" s="5"/>
      <c r="F6" s="5"/>
      <c r="G6" s="5"/>
      <c r="H6" s="5"/>
      <c r="I6" s="5"/>
      <c r="J6" s="5"/>
      <c r="K6" s="5"/>
    </row>
    <row r="7" spans="4:11" ht="15" customHeight="1" x14ac:dyDescent="0.25">
      <c r="D7" s="5"/>
      <c r="E7" s="5"/>
      <c r="F7" s="5"/>
      <c r="G7" s="5"/>
      <c r="H7" s="5"/>
      <c r="I7" s="5"/>
      <c r="J7" s="5"/>
      <c r="K7" s="5"/>
    </row>
    <row r="8" spans="4:11" ht="15" customHeight="1" x14ac:dyDescent="0.25">
      <c r="D8" s="5"/>
      <c r="E8" s="5"/>
      <c r="F8" s="5"/>
      <c r="G8" s="5"/>
      <c r="H8" s="5"/>
      <c r="I8" s="5"/>
      <c r="J8" s="5"/>
      <c r="K8" s="5"/>
    </row>
    <row r="9" spans="4:11" ht="15" customHeight="1" x14ac:dyDescent="0.25">
      <c r="D9" s="5"/>
      <c r="E9" s="5"/>
      <c r="F9" s="5"/>
      <c r="G9" s="5"/>
      <c r="H9" s="5"/>
      <c r="I9" s="5"/>
      <c r="J9" s="5"/>
      <c r="K9" s="5"/>
    </row>
    <row r="10" spans="4:11" ht="15" customHeight="1" x14ac:dyDescent="0.25">
      <c r="D10" s="5"/>
      <c r="E10" s="5"/>
      <c r="F10" s="5"/>
      <c r="G10" s="5"/>
      <c r="H10" s="5"/>
      <c r="I10" s="5"/>
      <c r="J10" s="5"/>
      <c r="K10" s="5"/>
    </row>
    <row r="11" spans="4:11" ht="15" customHeight="1" x14ac:dyDescent="0.25">
      <c r="D11" s="5"/>
      <c r="E11" s="5"/>
      <c r="F11" s="5"/>
      <c r="G11" s="5"/>
      <c r="H11" s="5"/>
      <c r="I11" s="5"/>
      <c r="J11" s="5"/>
      <c r="K11" s="5"/>
    </row>
    <row r="12" spans="4:11" ht="15" customHeight="1" x14ac:dyDescent="0.25">
      <c r="D12" s="5"/>
      <c r="E12" s="5"/>
      <c r="F12" s="5"/>
      <c r="G12" s="5"/>
      <c r="H12" s="5"/>
      <c r="I12" s="5"/>
      <c r="J12" s="5"/>
      <c r="K12" s="5"/>
    </row>
    <row r="13" spans="4:11" ht="15" customHeight="1" x14ac:dyDescent="0.25">
      <c r="D13" s="5"/>
      <c r="E13" s="5"/>
      <c r="F13" s="5"/>
      <c r="G13" s="5"/>
      <c r="H13" s="5"/>
      <c r="I13" s="5"/>
      <c r="J13" s="5"/>
      <c r="K13" s="5"/>
    </row>
    <row r="14" spans="4:11" ht="15" customHeight="1" x14ac:dyDescent="0.25">
      <c r="D14" s="5"/>
      <c r="E14" s="5"/>
      <c r="F14" s="5"/>
      <c r="G14" s="5"/>
      <c r="H14" s="5"/>
      <c r="I14" s="5"/>
      <c r="J14" s="5"/>
      <c r="K14" s="5"/>
    </row>
    <row r="15" spans="4:11" ht="15" customHeight="1" x14ac:dyDescent="0.25">
      <c r="D15" s="5"/>
      <c r="E15" s="5"/>
      <c r="F15" s="5"/>
      <c r="G15" s="5"/>
      <c r="H15" s="5"/>
      <c r="I15" s="5"/>
      <c r="J15" s="5"/>
      <c r="K15" s="5"/>
    </row>
    <row r="16" spans="4:11" ht="15" customHeight="1" x14ac:dyDescent="0.25">
      <c r="D16" s="5"/>
      <c r="E16" s="5"/>
      <c r="F16" s="5"/>
      <c r="G16" s="5"/>
      <c r="H16" s="5"/>
      <c r="I16" s="5"/>
      <c r="J16" s="5"/>
      <c r="K16" s="5"/>
    </row>
    <row r="17" spans="4:11" ht="15" customHeight="1" x14ac:dyDescent="0.25">
      <c r="D17" s="5"/>
      <c r="E17" s="5"/>
      <c r="F17" s="5"/>
      <c r="G17" s="5"/>
      <c r="H17" s="5"/>
      <c r="I17" s="5"/>
      <c r="J17" s="5"/>
      <c r="K17" s="5"/>
    </row>
    <row r="18" spans="4:11" ht="15" customHeight="1" x14ac:dyDescent="0.25">
      <c r="D18" s="5"/>
      <c r="E18" s="5"/>
      <c r="F18" s="5"/>
      <c r="G18" s="5"/>
      <c r="H18" s="5"/>
      <c r="I18" s="5"/>
      <c r="J18" s="5"/>
      <c r="K18" s="5"/>
    </row>
    <row r="19" spans="4:11" ht="15" customHeight="1" x14ac:dyDescent="0.25">
      <c r="D19" s="5"/>
      <c r="E19" s="5"/>
      <c r="F19" s="5"/>
      <c r="G19" s="5"/>
      <c r="H19" s="5"/>
      <c r="I19" s="5"/>
      <c r="J19" s="5"/>
      <c r="K19" s="5"/>
    </row>
    <row r="20" spans="4:11" ht="15" customHeight="1" x14ac:dyDescent="0.25">
      <c r="D20" s="5"/>
      <c r="E20" s="5"/>
      <c r="F20" s="5"/>
      <c r="G20" s="5"/>
      <c r="H20" s="5"/>
      <c r="I20" s="5"/>
      <c r="J20" s="5"/>
      <c r="K20" s="5"/>
    </row>
    <row r="21" spans="4:11" ht="15" customHeight="1" x14ac:dyDescent="0.25">
      <c r="D21" s="5"/>
      <c r="E21" s="5"/>
      <c r="F21" s="5"/>
      <c r="G21" s="5"/>
      <c r="H21" s="5"/>
      <c r="I21" s="5"/>
      <c r="J21" s="5"/>
      <c r="K21" s="5"/>
    </row>
    <row r="22" spans="4:11" ht="15" customHeight="1" x14ac:dyDescent="0.25">
      <c r="D22" s="5"/>
      <c r="E22" s="5"/>
      <c r="F22" s="5"/>
      <c r="G22" s="5"/>
      <c r="H22" s="5"/>
      <c r="I22" s="5"/>
      <c r="J22" s="5"/>
      <c r="K22" s="5"/>
    </row>
    <row r="23" spans="4:11" ht="15" customHeight="1" x14ac:dyDescent="0.25">
      <c r="D23" s="5"/>
      <c r="E23" s="5"/>
      <c r="F23" s="5"/>
      <c r="G23" s="5"/>
      <c r="H23" s="5"/>
      <c r="I23" s="5"/>
      <c r="J23" s="5"/>
      <c r="K23" s="5"/>
    </row>
    <row r="24" spans="4:11" ht="15" customHeight="1" x14ac:dyDescent="0.25">
      <c r="D24" s="5"/>
      <c r="E24" s="5"/>
      <c r="F24" s="5"/>
      <c r="G24" s="5"/>
      <c r="H24" s="5"/>
      <c r="I24" s="5"/>
      <c r="J24" s="5"/>
      <c r="K24" s="5"/>
    </row>
    <row r="25" spans="4:11" ht="15" customHeight="1" x14ac:dyDescent="0.25">
      <c r="D25" s="5"/>
      <c r="E25" s="5"/>
      <c r="F25" s="5"/>
      <c r="G25" s="5"/>
      <c r="H25" s="5"/>
      <c r="I25" s="5"/>
      <c r="J25" s="5"/>
      <c r="K25" s="5"/>
    </row>
    <row r="26" spans="4:11" ht="15" customHeight="1" x14ac:dyDescent="0.25">
      <c r="D26" s="5"/>
      <c r="E26" s="5"/>
      <c r="F26" s="5"/>
      <c r="G26" s="5"/>
      <c r="H26" s="5"/>
      <c r="I26" s="5"/>
      <c r="J26" s="5"/>
      <c r="K26" s="5"/>
    </row>
    <row r="27" spans="4:11" ht="15" customHeight="1" x14ac:dyDescent="0.25">
      <c r="D27" s="5"/>
      <c r="E27" s="5"/>
      <c r="F27" s="5"/>
      <c r="G27" s="5"/>
      <c r="H27" s="5"/>
      <c r="I27" s="5"/>
      <c r="J27" s="5"/>
      <c r="K27" s="5"/>
    </row>
    <row r="28" spans="4:11" ht="15" customHeight="1" x14ac:dyDescent="0.25">
      <c r="D28" s="5"/>
      <c r="E28" s="5"/>
      <c r="F28" s="5"/>
      <c r="G28" s="5"/>
      <c r="H28" s="5"/>
      <c r="I28" s="5"/>
      <c r="J28" s="5"/>
      <c r="K28" s="5"/>
    </row>
    <row r="29" spans="4:11" ht="15" customHeight="1" x14ac:dyDescent="0.25">
      <c r="D29" s="5"/>
      <c r="E29" s="5"/>
      <c r="F29" s="5"/>
      <c r="G29" s="5"/>
      <c r="H29" s="5"/>
      <c r="I29" s="5"/>
      <c r="J29" s="5"/>
      <c r="K29" s="5"/>
    </row>
    <row r="30" spans="4:11" ht="15" customHeight="1" x14ac:dyDescent="0.25">
      <c r="D30" s="5"/>
      <c r="E30" s="5"/>
      <c r="F30" s="5"/>
      <c r="G30" s="5"/>
      <c r="H30" s="5"/>
      <c r="I30" s="5"/>
      <c r="J30" s="5"/>
      <c r="K30" s="5"/>
    </row>
    <row r="31" spans="4:11" ht="15" customHeight="1" x14ac:dyDescent="0.25">
      <c r="D31" s="5"/>
      <c r="E31" s="5"/>
      <c r="F31" s="5"/>
      <c r="G31" s="5"/>
      <c r="H31" s="5"/>
      <c r="I31" s="5"/>
      <c r="J31" s="5"/>
      <c r="K31" s="5"/>
    </row>
    <row r="32" spans="4:11" ht="15" customHeight="1" x14ac:dyDescent="0.25">
      <c r="D32" s="5"/>
      <c r="E32" s="5"/>
      <c r="F32" s="5"/>
      <c r="G32" s="5"/>
      <c r="H32" s="5"/>
      <c r="I32" s="5"/>
      <c r="J32" s="5"/>
      <c r="K32" s="5"/>
    </row>
    <row r="33" spans="4:11" ht="15" customHeight="1" x14ac:dyDescent="0.25">
      <c r="D33" s="5"/>
      <c r="E33" s="5"/>
      <c r="F33" s="5"/>
      <c r="G33" s="5"/>
      <c r="H33" s="5"/>
      <c r="I33" s="5"/>
      <c r="J33" s="5"/>
      <c r="K33" s="5"/>
    </row>
    <row r="34" spans="4:11" ht="15" customHeight="1" x14ac:dyDescent="0.25">
      <c r="D34" s="5"/>
      <c r="E34" s="5"/>
      <c r="F34" s="5"/>
      <c r="G34" s="5"/>
      <c r="H34" s="5"/>
      <c r="I34" s="5"/>
      <c r="J34" s="5"/>
      <c r="K34" s="5"/>
    </row>
    <row r="35" spans="4:11" ht="15" customHeight="1" x14ac:dyDescent="0.25">
      <c r="D35" s="5"/>
      <c r="E35" s="5"/>
      <c r="F35" s="5"/>
      <c r="G35" s="5"/>
      <c r="H35" s="5"/>
      <c r="I35" s="5"/>
      <c r="J35" s="5"/>
      <c r="K35" s="5"/>
    </row>
    <row r="36" spans="4:11" ht="15" customHeight="1" x14ac:dyDescent="0.25">
      <c r="D36" s="5"/>
      <c r="E36" s="5"/>
      <c r="F36" s="5"/>
      <c r="G36" s="5"/>
      <c r="H36" s="5"/>
      <c r="I36" s="5"/>
      <c r="J36" s="5"/>
      <c r="K36" s="5"/>
    </row>
    <row r="37" spans="4:11" ht="15" customHeight="1" x14ac:dyDescent="0.25">
      <c r="D37" s="5"/>
      <c r="E37" s="5"/>
      <c r="F37" s="5"/>
      <c r="G37" s="5"/>
      <c r="H37" s="5"/>
      <c r="I37" s="5"/>
      <c r="J37" s="5"/>
      <c r="K37" s="5"/>
    </row>
    <row r="38" spans="4:11" ht="15" customHeight="1" x14ac:dyDescent="0.25">
      <c r="D38" s="5"/>
      <c r="E38" s="5"/>
      <c r="F38" s="5"/>
      <c r="G38" s="5"/>
      <c r="H38" s="5"/>
      <c r="I38" s="5"/>
      <c r="J38" s="5"/>
      <c r="K38" s="5"/>
    </row>
    <row r="39" spans="4:11" ht="15" customHeight="1" x14ac:dyDescent="0.25">
      <c r="D39" s="5"/>
      <c r="E39" s="5"/>
      <c r="F39" s="5"/>
      <c r="G39" s="5"/>
      <c r="H39" s="5"/>
      <c r="I39" s="5"/>
      <c r="J39" s="5"/>
      <c r="K39" s="5"/>
    </row>
    <row r="40" spans="4:11" ht="15" customHeight="1" x14ac:dyDescent="0.25">
      <c r="D40" s="5"/>
      <c r="E40" s="5"/>
      <c r="F40" s="5"/>
      <c r="G40" s="5"/>
      <c r="H40" s="5"/>
      <c r="I40" s="5"/>
      <c r="J40" s="5"/>
      <c r="K40" s="5"/>
    </row>
    <row r="41" spans="4:11" ht="15" customHeight="1" x14ac:dyDescent="0.25">
      <c r="D41" s="5"/>
      <c r="E41" s="5"/>
      <c r="F41" s="5"/>
      <c r="G41" s="5"/>
      <c r="H41" s="5"/>
      <c r="I41" s="5"/>
      <c r="J41" s="5"/>
      <c r="K41" s="5"/>
    </row>
    <row r="42" spans="4:11" ht="15" customHeight="1" x14ac:dyDescent="0.25">
      <c r="D42" s="5"/>
      <c r="E42" s="5"/>
      <c r="F42" s="5"/>
      <c r="G42" s="5"/>
      <c r="H42" s="5"/>
      <c r="I42" s="5"/>
      <c r="J42" s="5"/>
      <c r="K42" s="5"/>
    </row>
    <row r="43" spans="4:11" ht="15" customHeight="1" x14ac:dyDescent="0.25">
      <c r="D43" s="5"/>
      <c r="E43" s="5"/>
      <c r="F43" s="5"/>
      <c r="G43" s="5"/>
      <c r="H43" s="5"/>
      <c r="I43" s="5"/>
      <c r="J43" s="5"/>
      <c r="K43" s="5"/>
    </row>
    <row r="44" spans="4:11" ht="15" customHeight="1" x14ac:dyDescent="0.25">
      <c r="D44" s="5"/>
      <c r="E44" s="5"/>
      <c r="F44" s="5"/>
      <c r="G44" s="5"/>
      <c r="H44" s="5"/>
      <c r="I44" s="5"/>
      <c r="J44" s="5"/>
      <c r="K44" s="5"/>
    </row>
    <row r="45" spans="4:11" ht="15" customHeight="1" x14ac:dyDescent="0.25">
      <c r="D45" s="5"/>
      <c r="E45" s="5"/>
      <c r="F45" s="5"/>
      <c r="G45" s="5"/>
      <c r="H45" s="5"/>
      <c r="I45" s="5"/>
      <c r="J45" s="5"/>
      <c r="K45" s="5"/>
    </row>
    <row r="46" spans="4:11" ht="15" customHeight="1" x14ac:dyDescent="0.25">
      <c r="D46" s="5"/>
      <c r="E46" s="5"/>
      <c r="F46" s="5"/>
      <c r="G46" s="5"/>
      <c r="H46" s="5"/>
      <c r="I46" s="5"/>
      <c r="J46" s="5"/>
      <c r="K46" s="5"/>
    </row>
    <row r="47" spans="4:11" ht="15" customHeight="1" x14ac:dyDescent="0.25">
      <c r="D47" s="5"/>
      <c r="E47" s="5"/>
      <c r="F47" s="5"/>
      <c r="G47" s="5"/>
      <c r="H47" s="5"/>
      <c r="I47" s="5"/>
      <c r="J47" s="5"/>
      <c r="K47" s="5"/>
    </row>
    <row r="48" spans="4:11" ht="15" customHeight="1" x14ac:dyDescent="0.25">
      <c r="D48" s="5"/>
      <c r="E48" s="5"/>
      <c r="F48" s="5"/>
      <c r="G48" s="5"/>
      <c r="H48" s="5"/>
      <c r="I48" s="5"/>
      <c r="J48" s="5"/>
      <c r="K48" s="5"/>
    </row>
    <row r="49" spans="4:11" ht="15" customHeight="1" x14ac:dyDescent="0.25">
      <c r="D49" s="5"/>
      <c r="E49" s="5"/>
      <c r="F49" s="5"/>
      <c r="G49" s="5"/>
      <c r="H49" s="5"/>
      <c r="I49" s="5"/>
      <c r="J49" s="5"/>
      <c r="K49" s="5"/>
    </row>
    <row r="50" spans="4:11" ht="15" customHeight="1" x14ac:dyDescent="0.25">
      <c r="D50" s="5"/>
      <c r="E50" s="5"/>
      <c r="F50" s="5"/>
      <c r="G50" s="5"/>
      <c r="H50" s="5"/>
      <c r="I50" s="5"/>
      <c r="J50" s="5"/>
      <c r="K50" s="5"/>
    </row>
    <row r="51" spans="4:11" ht="15" customHeight="1" x14ac:dyDescent="0.25">
      <c r="D51" s="5"/>
      <c r="E51" s="5"/>
      <c r="F51" s="5"/>
      <c r="G51" s="5"/>
      <c r="H51" s="5"/>
      <c r="I51" s="5"/>
      <c r="J51" s="5"/>
      <c r="K51" s="5"/>
    </row>
    <row r="52" spans="4:11" ht="15" customHeight="1" x14ac:dyDescent="0.25">
      <c r="D52" s="5"/>
      <c r="E52" s="5"/>
      <c r="F52" s="5"/>
      <c r="G52" s="5"/>
      <c r="H52" s="5"/>
      <c r="I52" s="5"/>
      <c r="J52" s="5"/>
      <c r="K52" s="5"/>
    </row>
    <row r="53" spans="4:11" ht="15" customHeight="1" x14ac:dyDescent="0.25">
      <c r="D53" s="5"/>
      <c r="E53" s="5"/>
      <c r="F53" s="5"/>
      <c r="G53" s="5"/>
      <c r="H53" s="5"/>
      <c r="I53" s="5"/>
      <c r="J53" s="5"/>
      <c r="K53" s="5"/>
    </row>
    <row r="54" spans="4:11" ht="15" customHeight="1" x14ac:dyDescent="0.25">
      <c r="D54" s="5"/>
      <c r="E54" s="5"/>
      <c r="F54" s="5"/>
      <c r="G54" s="5"/>
      <c r="H54" s="5"/>
      <c r="I54" s="5"/>
      <c r="J54" s="5"/>
      <c r="K54" s="5"/>
    </row>
    <row r="55" spans="4:11" ht="15" customHeight="1" x14ac:dyDescent="0.25">
      <c r="D55" s="5"/>
      <c r="E55" s="5"/>
      <c r="F55" s="5"/>
      <c r="G55" s="5"/>
      <c r="H55" s="5"/>
      <c r="I55" s="5"/>
      <c r="J55" s="5"/>
      <c r="K55" s="5"/>
    </row>
    <row r="56" spans="4:11" ht="15" customHeight="1" x14ac:dyDescent="0.25">
      <c r="D56" s="5"/>
      <c r="E56" s="5"/>
      <c r="F56" s="5"/>
      <c r="G56" s="5"/>
      <c r="H56" s="5"/>
      <c r="I56" s="5"/>
      <c r="J56" s="5"/>
      <c r="K56" s="5"/>
    </row>
    <row r="57" spans="4:11" ht="15" customHeight="1" x14ac:dyDescent="0.25">
      <c r="D57" s="5"/>
      <c r="E57" s="5"/>
      <c r="F57" s="5"/>
      <c r="G57" s="5"/>
      <c r="H57" s="5"/>
      <c r="I57" s="5"/>
      <c r="J57" s="5"/>
      <c r="K57" s="5"/>
    </row>
    <row r="58" spans="4:11" ht="15" customHeight="1" x14ac:dyDescent="0.25">
      <c r="D58" s="5"/>
      <c r="E58" s="5"/>
      <c r="F58" s="5"/>
      <c r="G58" s="5"/>
      <c r="H58" s="5"/>
      <c r="I58" s="5"/>
      <c r="J58" s="5"/>
      <c r="K58" s="5"/>
    </row>
    <row r="59" spans="4:11" ht="15" customHeight="1" x14ac:dyDescent="0.25">
      <c r="D59" s="5"/>
      <c r="E59" s="5"/>
      <c r="F59" s="5"/>
      <c r="G59" s="5"/>
      <c r="H59" s="5"/>
      <c r="I59" s="5"/>
      <c r="J59" s="5"/>
      <c r="K59" s="5"/>
    </row>
    <row r="60" spans="4:11" ht="15" customHeight="1" x14ac:dyDescent="0.25">
      <c r="D60" s="5"/>
      <c r="E60" s="5"/>
      <c r="F60" s="5"/>
      <c r="G60" s="5"/>
      <c r="H60" s="5"/>
      <c r="I60" s="5"/>
      <c r="J60" s="5"/>
      <c r="K60" s="5"/>
    </row>
    <row r="61" spans="4:11" ht="15" customHeight="1" x14ac:dyDescent="0.25">
      <c r="D61" s="5"/>
      <c r="E61" s="5"/>
      <c r="F61" s="5"/>
      <c r="G61" s="5"/>
      <c r="H61" s="5"/>
      <c r="I61" s="5"/>
      <c r="J61" s="5"/>
      <c r="K61" s="5"/>
    </row>
    <row r="62" spans="4:11" ht="15" customHeight="1" x14ac:dyDescent="0.25">
      <c r="D62" s="5"/>
      <c r="E62" s="5"/>
      <c r="F62" s="5"/>
      <c r="G62" s="5"/>
      <c r="H62" s="5"/>
      <c r="I62" s="5"/>
      <c r="J62" s="5"/>
      <c r="K62" s="5"/>
    </row>
    <row r="63" spans="4:11" ht="15" customHeight="1" x14ac:dyDescent="0.25">
      <c r="D63" s="5"/>
      <c r="E63" s="5"/>
      <c r="F63" s="5"/>
      <c r="G63" s="5"/>
      <c r="H63" s="5"/>
      <c r="I63" s="5"/>
      <c r="J63" s="5"/>
      <c r="K63" s="5"/>
    </row>
    <row r="64" spans="4:11" ht="15" customHeight="1" x14ac:dyDescent="0.25">
      <c r="D64" s="5"/>
      <c r="E64" s="5"/>
      <c r="F64" s="5"/>
      <c r="G64" s="5"/>
      <c r="H64" s="5"/>
      <c r="I64" s="5"/>
      <c r="J64" s="5"/>
      <c r="K64" s="5"/>
    </row>
    <row r="65" spans="4:11" ht="15" customHeight="1" x14ac:dyDescent="0.25">
      <c r="D65" s="5"/>
      <c r="E65" s="5"/>
      <c r="F65" s="5"/>
      <c r="G65" s="5"/>
      <c r="H65" s="5"/>
      <c r="I65" s="5"/>
      <c r="J65" s="5"/>
      <c r="K65" s="5"/>
    </row>
    <row r="66" spans="4:11" ht="15" customHeight="1" x14ac:dyDescent="0.25">
      <c r="D66" s="5"/>
      <c r="E66" s="5"/>
      <c r="F66" s="5"/>
      <c r="G66" s="5"/>
      <c r="H66" s="5"/>
      <c r="I66" s="5"/>
      <c r="J66" s="5"/>
      <c r="K66" s="5"/>
    </row>
    <row r="67" spans="4:11" ht="15" customHeight="1" x14ac:dyDescent="0.25">
      <c r="D67" s="5"/>
      <c r="E67" s="5"/>
      <c r="F67" s="5"/>
      <c r="G67" s="5"/>
      <c r="H67" s="5"/>
      <c r="I67" s="5"/>
      <c r="J67" s="5"/>
      <c r="K67" s="5"/>
    </row>
    <row r="68" spans="4:11" ht="15" customHeight="1" x14ac:dyDescent="0.25">
      <c r="D68" s="5"/>
      <c r="E68" s="5"/>
      <c r="F68" s="5"/>
      <c r="G68" s="5"/>
      <c r="H68" s="5"/>
      <c r="I68" s="5"/>
      <c r="J68" s="5"/>
      <c r="K68" s="5"/>
    </row>
    <row r="69" spans="4:11" ht="15" customHeight="1" x14ac:dyDescent="0.25">
      <c r="D69" s="5"/>
      <c r="E69" s="5"/>
      <c r="F69" s="5"/>
      <c r="G69" s="5"/>
      <c r="H69" s="5"/>
      <c r="I69" s="5"/>
      <c r="J69" s="5"/>
      <c r="K69" s="5"/>
    </row>
    <row r="70" spans="4:11" ht="15" customHeight="1" x14ac:dyDescent="0.25">
      <c r="D70" s="5"/>
      <c r="E70" s="5"/>
      <c r="F70" s="5"/>
      <c r="G70" s="5"/>
      <c r="H70" s="5"/>
      <c r="I70" s="5"/>
      <c r="J70" s="5"/>
      <c r="K70" s="5"/>
    </row>
    <row r="71" spans="4:11" ht="15" customHeight="1" x14ac:dyDescent="0.25">
      <c r="D71" s="5"/>
      <c r="E71" s="5"/>
      <c r="F71" s="5"/>
      <c r="G71" s="5"/>
      <c r="H71" s="5"/>
      <c r="I71" s="5"/>
      <c r="J71" s="5"/>
      <c r="K71" s="5"/>
    </row>
    <row r="72" spans="4:11" ht="15" customHeight="1" x14ac:dyDescent="0.25">
      <c r="D72" s="5"/>
      <c r="E72" s="5"/>
      <c r="F72" s="5"/>
      <c r="G72" s="5"/>
      <c r="H72" s="5"/>
      <c r="I72" s="5"/>
      <c r="J72" s="5"/>
      <c r="K72" s="5"/>
    </row>
    <row r="73" spans="4:11" ht="15" customHeight="1" x14ac:dyDescent="0.25">
      <c r="D73" s="5"/>
      <c r="E73" s="5"/>
      <c r="F73" s="5"/>
      <c r="G73" s="5"/>
      <c r="H73" s="5"/>
      <c r="I73" s="5"/>
      <c r="J73" s="5"/>
      <c r="K73" s="5"/>
    </row>
    <row r="74" spans="4:11" ht="15" customHeight="1" x14ac:dyDescent="0.25">
      <c r="D74" s="5"/>
      <c r="E74" s="5"/>
      <c r="F74" s="5"/>
      <c r="G74" s="5"/>
      <c r="H74" s="5"/>
      <c r="I74" s="5"/>
      <c r="J74" s="5"/>
      <c r="K74" s="5"/>
    </row>
    <row r="75" spans="4:11" ht="15" customHeight="1" x14ac:dyDescent="0.25">
      <c r="D75" s="5"/>
      <c r="E75" s="5"/>
      <c r="F75" s="5"/>
      <c r="G75" s="5"/>
      <c r="H75" s="5"/>
      <c r="I75" s="5"/>
      <c r="J75" s="5"/>
      <c r="K75" s="5"/>
    </row>
    <row r="76" spans="4:11" ht="15" customHeight="1" x14ac:dyDescent="0.25">
      <c r="D76" s="5"/>
      <c r="E76" s="5"/>
      <c r="F76" s="5"/>
      <c r="G76" s="5"/>
      <c r="H76" s="5"/>
      <c r="I76" s="5"/>
      <c r="J76" s="5"/>
      <c r="K76" s="5"/>
    </row>
    <row r="77" spans="4:11" ht="15" customHeight="1" x14ac:dyDescent="0.25">
      <c r="D77" s="5"/>
      <c r="E77" s="5"/>
      <c r="F77" s="5"/>
      <c r="G77" s="5"/>
      <c r="H77" s="5"/>
      <c r="I77" s="5"/>
      <c r="J77" s="5"/>
      <c r="K77" s="5"/>
    </row>
    <row r="78" spans="4:11" ht="15" customHeight="1" x14ac:dyDescent="0.25">
      <c r="D78" s="5"/>
      <c r="E78" s="5"/>
      <c r="F78" s="5"/>
      <c r="G78" s="5"/>
      <c r="H78" s="5"/>
      <c r="I78" s="5"/>
      <c r="J78" s="5"/>
      <c r="K78" s="5"/>
    </row>
    <row r="79" spans="4:11" ht="15" customHeight="1" x14ac:dyDescent="0.25">
      <c r="D79" s="5"/>
      <c r="E79" s="5"/>
      <c r="F79" s="5"/>
      <c r="G79" s="5"/>
      <c r="H79" s="5"/>
      <c r="I79" s="5"/>
      <c r="J79" s="5"/>
      <c r="K79" s="5"/>
    </row>
    <row r="80" spans="4:11" ht="15" customHeight="1" x14ac:dyDescent="0.25">
      <c r="D80" s="5"/>
      <c r="E80" s="5"/>
      <c r="F80" s="5"/>
      <c r="G80" s="5"/>
      <c r="H80" s="5"/>
      <c r="I80" s="5"/>
      <c r="J80" s="5"/>
      <c r="K80" s="5"/>
    </row>
    <row r="81" spans="4:11" ht="15" customHeight="1" x14ac:dyDescent="0.25">
      <c r="D81" s="5"/>
      <c r="E81" s="5"/>
      <c r="F81" s="5"/>
      <c r="G81" s="5"/>
      <c r="H81" s="5"/>
      <c r="I81" s="5"/>
      <c r="J81" s="5"/>
      <c r="K81" s="5"/>
    </row>
    <row r="82" spans="4:11" ht="15" customHeight="1" x14ac:dyDescent="0.25">
      <c r="D82" s="5"/>
      <c r="E82" s="5"/>
      <c r="F82" s="5"/>
      <c r="G82" s="5"/>
      <c r="H82" s="5"/>
      <c r="I82" s="5"/>
      <c r="J82" s="5"/>
      <c r="K82" s="5"/>
    </row>
    <row r="83" spans="4:11" ht="15" customHeight="1" x14ac:dyDescent="0.25">
      <c r="D83" s="5"/>
      <c r="E83" s="5"/>
      <c r="F83" s="5"/>
      <c r="G83" s="5"/>
      <c r="H83" s="5"/>
      <c r="I83" s="5"/>
      <c r="J83" s="5"/>
      <c r="K83" s="5"/>
    </row>
    <row r="84" spans="4:11" ht="15" customHeight="1" x14ac:dyDescent="0.25">
      <c r="D84" s="5"/>
      <c r="E84" s="5"/>
      <c r="F84" s="5"/>
      <c r="G84" s="5"/>
      <c r="H84" s="5"/>
      <c r="I84" s="5"/>
      <c r="J84" s="5"/>
      <c r="K84" s="5"/>
    </row>
    <row r="85" spans="4:11" ht="15" customHeight="1" x14ac:dyDescent="0.25">
      <c r="D85" s="5"/>
      <c r="E85" s="5"/>
      <c r="F85" s="5"/>
      <c r="G85" s="5"/>
      <c r="H85" s="5"/>
      <c r="I85" s="5"/>
      <c r="J85" s="5"/>
      <c r="K85" s="5"/>
    </row>
    <row r="86" spans="4:11" ht="15" customHeight="1" x14ac:dyDescent="0.25">
      <c r="D86" s="5"/>
      <c r="E86" s="5"/>
      <c r="F86" s="5"/>
      <c r="G86" s="5"/>
      <c r="H86" s="5"/>
      <c r="I86" s="5"/>
      <c r="J86" s="5"/>
      <c r="K86" s="5"/>
    </row>
    <row r="87" spans="4:11" ht="15" customHeight="1" x14ac:dyDescent="0.25">
      <c r="D87" s="5"/>
      <c r="E87" s="5"/>
      <c r="F87" s="5"/>
      <c r="G87" s="5"/>
      <c r="H87" s="5"/>
      <c r="I87" s="5"/>
      <c r="J87" s="5"/>
      <c r="K87" s="5"/>
    </row>
    <row r="88" spans="4:11" ht="15" customHeight="1" x14ac:dyDescent="0.25">
      <c r="D88" s="5"/>
      <c r="E88" s="5"/>
      <c r="F88" s="5"/>
      <c r="G88" s="5"/>
      <c r="H88" s="5"/>
      <c r="I88" s="5"/>
      <c r="J88" s="5"/>
      <c r="K88" s="5"/>
    </row>
    <row r="89" spans="4:11" ht="15" customHeight="1" x14ac:dyDescent="0.25">
      <c r="D89" s="5"/>
      <c r="E89" s="5"/>
      <c r="F89" s="5"/>
      <c r="G89" s="5"/>
      <c r="H89" s="5"/>
      <c r="I89" s="5"/>
      <c r="J89" s="5"/>
      <c r="K89" s="5"/>
    </row>
    <row r="90" spans="4:11" ht="15" customHeight="1" x14ac:dyDescent="0.25">
      <c r="D90" s="5"/>
      <c r="E90" s="5"/>
      <c r="F90" s="5"/>
      <c r="G90" s="5"/>
      <c r="H90" s="5"/>
      <c r="I90" s="5"/>
      <c r="J90" s="5"/>
      <c r="K90" s="5"/>
    </row>
    <row r="91" spans="4:11" ht="15" customHeight="1" x14ac:dyDescent="0.25">
      <c r="D91" s="5"/>
      <c r="E91" s="5"/>
      <c r="F91" s="5"/>
      <c r="G91" s="5"/>
      <c r="H91" s="5"/>
      <c r="I91" s="5"/>
      <c r="J91" s="5"/>
      <c r="K91" s="5"/>
    </row>
    <row r="92" spans="4:11" ht="15" customHeight="1" x14ac:dyDescent="0.25">
      <c r="D92" s="5"/>
      <c r="E92" s="5"/>
      <c r="F92" s="5"/>
      <c r="G92" s="5"/>
      <c r="H92" s="5"/>
      <c r="I92" s="5"/>
      <c r="J92" s="5"/>
      <c r="K92" s="5"/>
    </row>
    <row r="93" spans="4:11" ht="15" customHeight="1" x14ac:dyDescent="0.25">
      <c r="D93" s="5"/>
      <c r="E93" s="5"/>
      <c r="F93" s="5"/>
      <c r="G93" s="5"/>
      <c r="H93" s="5"/>
      <c r="I93" s="5"/>
      <c r="J93" s="5"/>
      <c r="K93" s="5"/>
    </row>
    <row r="94" spans="4:11" ht="15" customHeight="1" x14ac:dyDescent="0.25">
      <c r="D94" s="5"/>
      <c r="E94" s="5"/>
      <c r="F94" s="5"/>
      <c r="G94" s="5"/>
      <c r="H94" s="5"/>
      <c r="I94" s="5"/>
      <c r="J94" s="5"/>
      <c r="K94" s="5"/>
    </row>
    <row r="95" spans="4:11" ht="15" customHeight="1" x14ac:dyDescent="0.25">
      <c r="D95" s="5"/>
      <c r="E95" s="5"/>
      <c r="F95" s="5"/>
      <c r="G95" s="5"/>
      <c r="H95" s="5"/>
      <c r="I95" s="5"/>
      <c r="J95" s="5"/>
      <c r="K95" s="5"/>
    </row>
    <row r="96" spans="4:11" ht="15" customHeight="1" x14ac:dyDescent="0.25">
      <c r="D96" s="5"/>
      <c r="E96" s="5"/>
      <c r="F96" s="5"/>
      <c r="G96" s="5"/>
      <c r="H96" s="5"/>
      <c r="I96" s="5"/>
      <c r="J96" s="5"/>
      <c r="K96" s="5"/>
    </row>
    <row r="97" spans="4:11" ht="15" customHeight="1" x14ac:dyDescent="0.25">
      <c r="D97" s="5"/>
      <c r="E97" s="5"/>
      <c r="F97" s="5"/>
      <c r="G97" s="5"/>
      <c r="H97" s="5"/>
      <c r="I97" s="5"/>
      <c r="J97" s="5"/>
      <c r="K97" s="5"/>
    </row>
    <row r="98" spans="4:11" ht="15" customHeight="1" x14ac:dyDescent="0.25">
      <c r="D98" s="5"/>
      <c r="E98" s="5"/>
      <c r="F98" s="5"/>
      <c r="G98" s="5"/>
      <c r="H98" s="5"/>
      <c r="I98" s="5"/>
      <c r="J98" s="5"/>
      <c r="K98" s="5"/>
    </row>
    <row r="99" spans="4:11" ht="15" customHeight="1" x14ac:dyDescent="0.25">
      <c r="D99" s="5"/>
      <c r="E99" s="5"/>
      <c r="F99" s="5"/>
      <c r="G99" s="5"/>
      <c r="H99" s="5"/>
      <c r="I99" s="5"/>
      <c r="J99" s="5"/>
      <c r="K99" s="5"/>
    </row>
    <row r="100" spans="4:11" ht="15" customHeight="1" x14ac:dyDescent="0.25">
      <c r="D100" s="5"/>
      <c r="E100" s="5"/>
      <c r="F100" s="5"/>
      <c r="G100" s="5"/>
      <c r="H100" s="5"/>
      <c r="I100" s="5"/>
      <c r="J100" s="5"/>
      <c r="K100" s="5"/>
    </row>
    <row r="101" spans="4:11" ht="15" customHeight="1" x14ac:dyDescent="0.25">
      <c r="D101" s="5"/>
      <c r="E101" s="5"/>
      <c r="F101" s="5"/>
      <c r="G101" s="5"/>
      <c r="H101" s="5"/>
      <c r="I101" s="5"/>
      <c r="J101" s="5"/>
      <c r="K101" s="5"/>
    </row>
    <row r="102" spans="4:11" ht="15" customHeight="1" x14ac:dyDescent="0.25">
      <c r="D102" s="5"/>
      <c r="E102" s="5"/>
      <c r="F102" s="5"/>
      <c r="G102" s="5"/>
      <c r="H102" s="5"/>
      <c r="I102" s="5"/>
      <c r="J102" s="5"/>
      <c r="K102" s="5"/>
    </row>
    <row r="103" spans="4:11" ht="15" customHeight="1" x14ac:dyDescent="0.25">
      <c r="D103" s="5"/>
      <c r="E103" s="5"/>
      <c r="F103" s="5"/>
      <c r="G103" s="5"/>
      <c r="H103" s="5"/>
      <c r="I103" s="5"/>
      <c r="J103" s="5"/>
      <c r="K103" s="5"/>
    </row>
    <row r="104" spans="4:11" ht="15" customHeight="1" x14ac:dyDescent="0.25">
      <c r="D104" s="5"/>
      <c r="E104" s="5"/>
      <c r="F104" s="5"/>
      <c r="G104" s="5"/>
      <c r="H104" s="5"/>
      <c r="I104" s="5"/>
      <c r="J104" s="5"/>
      <c r="K104" s="5"/>
    </row>
    <row r="105" spans="4:11" ht="15" customHeight="1" x14ac:dyDescent="0.25">
      <c r="D105" s="5"/>
      <c r="E105" s="5"/>
      <c r="F105" s="5"/>
      <c r="G105" s="5"/>
      <c r="H105" s="5"/>
      <c r="I105" s="5"/>
      <c r="J105" s="5"/>
      <c r="K105" s="5"/>
    </row>
    <row r="106" spans="4:11" ht="15" customHeight="1" x14ac:dyDescent="0.25">
      <c r="D106" s="5"/>
      <c r="E106" s="5"/>
      <c r="F106" s="5"/>
      <c r="G106" s="5"/>
      <c r="H106" s="5"/>
      <c r="I106" s="5"/>
      <c r="J106" s="5"/>
      <c r="K106" s="5"/>
    </row>
    <row r="107" spans="4:11" ht="15" customHeight="1" x14ac:dyDescent="0.25">
      <c r="D107" s="5"/>
      <c r="E107" s="5"/>
      <c r="F107" s="5"/>
      <c r="G107" s="5"/>
      <c r="H107" s="5"/>
      <c r="I107" s="5"/>
      <c r="J107" s="5"/>
      <c r="K107" s="5"/>
    </row>
    <row r="108" spans="4:11" ht="15" customHeight="1" x14ac:dyDescent="0.25">
      <c r="D108" s="5"/>
      <c r="E108" s="5"/>
      <c r="F108" s="5"/>
      <c r="G108" s="5"/>
      <c r="H108" s="5"/>
      <c r="I108" s="5"/>
      <c r="J108" s="5"/>
      <c r="K108" s="5"/>
    </row>
    <row r="109" spans="4:11" ht="15" customHeight="1" x14ac:dyDescent="0.25">
      <c r="D109" s="5"/>
      <c r="E109" s="5"/>
      <c r="F109" s="5"/>
      <c r="G109" s="5"/>
      <c r="H109" s="5"/>
      <c r="I109" s="5"/>
      <c r="J109" s="5"/>
      <c r="K109" s="5"/>
    </row>
    <row r="110" spans="4:11" ht="15" customHeight="1" x14ac:dyDescent="0.25">
      <c r="D110" s="5"/>
      <c r="E110" s="5"/>
      <c r="F110" s="5"/>
      <c r="G110" s="5"/>
      <c r="H110" s="5"/>
      <c r="I110" s="5"/>
      <c r="J110" s="5"/>
      <c r="K110" s="5"/>
    </row>
    <row r="111" spans="4:11" ht="15" customHeight="1" x14ac:dyDescent="0.25">
      <c r="D111" s="5"/>
      <c r="E111" s="5"/>
      <c r="F111" s="5"/>
      <c r="G111" s="5"/>
      <c r="H111" s="5"/>
      <c r="I111" s="5"/>
      <c r="J111" s="5"/>
      <c r="K111" s="5"/>
    </row>
    <row r="112" spans="4:11" ht="15" customHeight="1" x14ac:dyDescent="0.25">
      <c r="D112" s="5"/>
      <c r="E112" s="5"/>
      <c r="F112" s="5"/>
      <c r="G112" s="5"/>
      <c r="H112" s="5"/>
      <c r="I112" s="5"/>
      <c r="J112" s="5"/>
      <c r="K112" s="5"/>
    </row>
    <row r="113" spans="4:11" ht="15" customHeight="1" x14ac:dyDescent="0.25">
      <c r="D113" s="5"/>
      <c r="E113" s="5"/>
      <c r="F113" s="5"/>
      <c r="G113" s="5"/>
      <c r="H113" s="5"/>
      <c r="I113" s="5"/>
      <c r="J113" s="5"/>
      <c r="K113" s="5"/>
    </row>
    <row r="114" spans="4:11" ht="15" customHeight="1" x14ac:dyDescent="0.25">
      <c r="D114" s="5"/>
      <c r="E114" s="5"/>
      <c r="F114" s="5"/>
      <c r="G114" s="5"/>
      <c r="H114" s="5"/>
      <c r="I114" s="5"/>
      <c r="J114" s="5"/>
      <c r="K114" s="5"/>
    </row>
    <row r="115" spans="4:11" ht="15" customHeight="1" x14ac:dyDescent="0.25">
      <c r="D115" s="5"/>
      <c r="E115" s="5"/>
      <c r="F115" s="5"/>
      <c r="G115" s="5"/>
      <c r="H115" s="5"/>
      <c r="I115" s="5"/>
      <c r="J115" s="5"/>
      <c r="K115" s="5"/>
    </row>
    <row r="116" spans="4:11" ht="15" customHeight="1" x14ac:dyDescent="0.25">
      <c r="D116" s="5"/>
      <c r="E116" s="5"/>
      <c r="F116" s="5"/>
      <c r="G116" s="5"/>
      <c r="H116" s="5"/>
      <c r="I116" s="5"/>
      <c r="J116" s="5"/>
      <c r="K116" s="5"/>
    </row>
    <row r="117" spans="4:11" ht="15" customHeight="1" x14ac:dyDescent="0.25">
      <c r="D117" s="5"/>
      <c r="E117" s="5"/>
      <c r="F117" s="5"/>
      <c r="G117" s="5"/>
      <c r="H117" s="5"/>
      <c r="I117" s="5"/>
      <c r="J117" s="5"/>
      <c r="K117" s="5"/>
    </row>
    <row r="118" spans="4:11" ht="15" customHeight="1" x14ac:dyDescent="0.25">
      <c r="D118" s="5"/>
      <c r="E118" s="5"/>
      <c r="F118" s="5"/>
      <c r="G118" s="5"/>
      <c r="H118" s="5"/>
      <c r="I118" s="5"/>
      <c r="J118" s="5"/>
      <c r="K118" s="5"/>
    </row>
    <row r="119" spans="4:11" ht="15" customHeight="1" x14ac:dyDescent="0.25">
      <c r="D119" s="5"/>
      <c r="E119" s="5"/>
      <c r="F119" s="5"/>
      <c r="G119" s="5"/>
      <c r="H119" s="5"/>
      <c r="I119" s="5"/>
      <c r="J119" s="5"/>
      <c r="K119" s="5"/>
    </row>
    <row r="120" spans="4:11" ht="15" customHeight="1" x14ac:dyDescent="0.25">
      <c r="D120" s="5"/>
      <c r="E120" s="5"/>
      <c r="F120" s="5"/>
      <c r="G120" s="5"/>
      <c r="H120" s="5"/>
      <c r="I120" s="5"/>
      <c r="J120" s="5"/>
      <c r="K120" s="5"/>
    </row>
    <row r="121" spans="4:11" ht="15" customHeight="1" x14ac:dyDescent="0.25">
      <c r="D121" s="5"/>
      <c r="E121" s="5"/>
      <c r="F121" s="5"/>
      <c r="G121" s="5"/>
      <c r="H121" s="5"/>
      <c r="I121" s="5"/>
      <c r="J121" s="5"/>
      <c r="K121" s="5"/>
    </row>
    <row r="122" spans="4:11" ht="15" customHeight="1" x14ac:dyDescent="0.25">
      <c r="D122" s="5"/>
      <c r="E122" s="5"/>
      <c r="F122" s="5"/>
      <c r="G122" s="5"/>
      <c r="H122" s="5"/>
      <c r="I122" s="5"/>
      <c r="J122" s="5"/>
      <c r="K122" s="5"/>
    </row>
    <row r="123" spans="4:11" ht="15" customHeight="1" x14ac:dyDescent="0.25">
      <c r="D123" s="5"/>
      <c r="E123" s="5"/>
      <c r="F123" s="5"/>
      <c r="G123" s="5"/>
      <c r="H123" s="5"/>
      <c r="I123" s="5"/>
      <c r="J123" s="5"/>
      <c r="K123" s="5"/>
    </row>
  </sheetData>
  <phoneticPr fontId="23" type="noConversion"/>
  <pageMargins left="0.7" right="0.7" top="0.75" bottom="0.75" header="0.3" footer="0.3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M14" sqref="M14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42578125" hidden="1" customWidth="1"/>
    <col min="5" max="5" width="9.7109375" hidden="1" customWidth="1"/>
    <col min="6" max="7" width="13.42578125" bestFit="1" customWidth="1"/>
  </cols>
  <sheetData>
    <row r="1" spans="1:10" ht="21.95" customHeight="1" thickBot="1" x14ac:dyDescent="0.35">
      <c r="A1" s="925" t="s">
        <v>240</v>
      </c>
      <c r="B1" s="926"/>
      <c r="C1" s="926"/>
      <c r="D1" s="926"/>
      <c r="E1" s="926"/>
      <c r="F1" s="926"/>
      <c r="G1" s="926"/>
      <c r="H1" s="926"/>
      <c r="I1" s="926"/>
      <c r="J1" s="927"/>
    </row>
    <row r="2" spans="1:10" ht="21.95" customHeight="1" thickBot="1" x14ac:dyDescent="0.3">
      <c r="A2" s="894" t="s">
        <v>1</v>
      </c>
      <c r="B2" s="907">
        <v>2010</v>
      </c>
      <c r="C2" s="908"/>
      <c r="D2" s="907">
        <v>2011</v>
      </c>
      <c r="E2" s="908"/>
      <c r="F2" s="154">
        <v>2012</v>
      </c>
      <c r="G2" s="815" t="s">
        <v>2</v>
      </c>
      <c r="H2" s="928"/>
      <c r="I2" s="928"/>
      <c r="J2" s="816"/>
    </row>
    <row r="3" spans="1:10" ht="21.95" customHeight="1" thickBot="1" x14ac:dyDescent="0.3">
      <c r="A3" s="895"/>
      <c r="B3" s="337" t="s">
        <v>3</v>
      </c>
      <c r="C3" s="335" t="s">
        <v>4</v>
      </c>
      <c r="D3" s="337" t="s">
        <v>3</v>
      </c>
      <c r="E3" s="335" t="s">
        <v>4</v>
      </c>
      <c r="F3" s="338" t="s">
        <v>3</v>
      </c>
      <c r="G3" s="72" t="s">
        <v>5</v>
      </c>
      <c r="H3" s="95" t="s">
        <v>6</v>
      </c>
      <c r="I3" s="95" t="s">
        <v>7</v>
      </c>
      <c r="J3" s="95" t="s">
        <v>8</v>
      </c>
    </row>
    <row r="4" spans="1:10" ht="21.95" customHeight="1" x14ac:dyDescent="0.25">
      <c r="A4" s="339"/>
      <c r="B4" s="340"/>
      <c r="C4" s="341"/>
      <c r="D4" s="340"/>
      <c r="E4" s="341"/>
      <c r="F4" s="342"/>
      <c r="G4" s="342"/>
      <c r="H4" s="343"/>
      <c r="I4" s="343"/>
      <c r="J4" s="368"/>
    </row>
    <row r="5" spans="1:10" ht="21.95" customHeight="1" x14ac:dyDescent="0.25">
      <c r="A5" s="344" t="s">
        <v>15</v>
      </c>
      <c r="B5" s="369"/>
      <c r="C5" s="369"/>
      <c r="D5" s="346">
        <f>SUM(D6:D8)</f>
        <v>0</v>
      </c>
      <c r="E5" s="346">
        <f>SUM(E6:E8)</f>
        <v>0</v>
      </c>
      <c r="F5" s="346">
        <f>SUM(F6:F8)</f>
        <v>0</v>
      </c>
      <c r="G5" s="346">
        <f>SUM(G6:G8)</f>
        <v>0</v>
      </c>
      <c r="H5" s="346"/>
      <c r="I5" s="346"/>
      <c r="J5" s="370"/>
    </row>
    <row r="6" spans="1:10" ht="21.95" customHeight="1" x14ac:dyDescent="0.25">
      <c r="A6" s="98" t="s">
        <v>144</v>
      </c>
      <c r="B6" s="371"/>
      <c r="C6" s="371"/>
      <c r="D6" s="100"/>
      <c r="E6" s="85"/>
      <c r="F6" s="85"/>
      <c r="G6" s="85"/>
      <c r="H6" s="85">
        <f>SUM(H7:H9)</f>
        <v>0</v>
      </c>
      <c r="I6" s="85">
        <f>SUM(I7:I9)</f>
        <v>0</v>
      </c>
      <c r="J6" s="372">
        <f>SUM(J7:J9)</f>
        <v>0</v>
      </c>
    </row>
    <row r="7" spans="1:10" ht="21.95" customHeight="1" x14ac:dyDescent="0.25">
      <c r="A7" s="83" t="s">
        <v>139</v>
      </c>
      <c r="B7" s="373"/>
      <c r="C7" s="373"/>
      <c r="D7" s="81"/>
      <c r="E7" s="85"/>
      <c r="F7" s="85"/>
      <c r="G7" s="85"/>
      <c r="H7" s="85"/>
      <c r="I7" s="85"/>
      <c r="J7" s="372"/>
    </row>
    <row r="8" spans="1:10" ht="21.95" customHeight="1" x14ac:dyDescent="0.25">
      <c r="A8" s="98" t="s">
        <v>140</v>
      </c>
      <c r="B8" s="371"/>
      <c r="C8" s="371"/>
      <c r="D8" s="100"/>
      <c r="E8" s="85"/>
      <c r="F8" s="85"/>
      <c r="G8" s="85"/>
      <c r="H8" s="85"/>
      <c r="I8" s="85"/>
      <c r="J8" s="372"/>
    </row>
    <row r="9" spans="1:10" ht="21.95" customHeight="1" x14ac:dyDescent="0.25">
      <c r="A9" s="347"/>
      <c r="B9" s="374"/>
      <c r="C9" s="374"/>
      <c r="D9" s="100"/>
      <c r="E9" s="81"/>
      <c r="F9" s="81"/>
      <c r="G9" s="81"/>
      <c r="H9" s="81"/>
      <c r="I9" s="81"/>
      <c r="J9" s="82"/>
    </row>
    <row r="10" spans="1:10" ht="21.95" customHeight="1" x14ac:dyDescent="0.25">
      <c r="A10" s="344" t="s">
        <v>141</v>
      </c>
      <c r="B10" s="369"/>
      <c r="C10" s="369"/>
      <c r="D10" s="346"/>
      <c r="E10" s="346"/>
      <c r="F10" s="346"/>
      <c r="G10" s="346"/>
      <c r="H10" s="346"/>
      <c r="I10" s="346"/>
      <c r="J10" s="370"/>
    </row>
    <row r="11" spans="1:10" ht="21.95" customHeight="1" x14ac:dyDescent="0.25">
      <c r="A11" s="349"/>
      <c r="B11" s="375"/>
      <c r="C11" s="375"/>
      <c r="D11" s="100"/>
      <c r="E11" s="81"/>
      <c r="F11" s="81"/>
      <c r="G11" s="81"/>
      <c r="H11" s="81"/>
      <c r="I11" s="81"/>
      <c r="J11" s="82"/>
    </row>
    <row r="12" spans="1:10" ht="21.95" customHeight="1" x14ac:dyDescent="0.25">
      <c r="A12" s="344" t="s">
        <v>142</v>
      </c>
      <c r="B12" s="369"/>
      <c r="C12" s="369"/>
      <c r="D12" s="346" t="e">
        <f>#REF!+#REF!+#REF!</f>
        <v>#REF!</v>
      </c>
      <c r="E12" s="346" t="e">
        <f>#REF!+#REF!+#REF!</f>
        <v>#REF!</v>
      </c>
      <c r="F12" s="346">
        <f>SUM(F13:F14)</f>
        <v>1500</v>
      </c>
      <c r="G12" s="346">
        <f>SUM(H12:J12)</f>
        <v>0</v>
      </c>
      <c r="H12" s="346"/>
      <c r="I12" s="346"/>
      <c r="J12" s="370"/>
    </row>
    <row r="13" spans="1:10" ht="21.95" customHeight="1" x14ac:dyDescent="0.25">
      <c r="A13" s="83"/>
      <c r="B13" s="373"/>
      <c r="C13" s="373"/>
      <c r="D13" s="81"/>
      <c r="E13" s="81"/>
      <c r="F13" s="81"/>
      <c r="G13" s="81"/>
      <c r="H13" s="81"/>
      <c r="I13" s="81"/>
      <c r="J13" s="82"/>
    </row>
    <row r="14" spans="1:10" ht="27.75" customHeight="1" x14ac:dyDescent="0.25">
      <c r="A14" s="351" t="s">
        <v>241</v>
      </c>
      <c r="B14" s="376"/>
      <c r="C14" s="376"/>
      <c r="D14" s="81"/>
      <c r="E14" s="81"/>
      <c r="F14" s="81">
        <v>1500</v>
      </c>
      <c r="G14" s="81"/>
      <c r="H14" s="81"/>
      <c r="I14" s="81"/>
      <c r="J14" s="82"/>
    </row>
    <row r="15" spans="1:10" ht="21.95" customHeight="1" x14ac:dyDescent="0.25">
      <c r="A15" s="83"/>
      <c r="B15" s="373"/>
      <c r="C15" s="373"/>
      <c r="D15" s="81"/>
      <c r="E15" s="81"/>
      <c r="F15" s="81"/>
      <c r="G15" s="81"/>
      <c r="H15" s="81"/>
      <c r="I15" s="81"/>
      <c r="J15" s="82"/>
    </row>
    <row r="16" spans="1:10" ht="21.95" customHeight="1" x14ac:dyDescent="0.25">
      <c r="A16" s="98"/>
      <c r="B16" s="371"/>
      <c r="C16" s="371"/>
      <c r="D16" s="100"/>
      <c r="E16" s="81"/>
      <c r="F16" s="81"/>
      <c r="G16" s="81"/>
      <c r="H16" s="81"/>
      <c r="I16" s="81"/>
      <c r="J16" s="82"/>
    </row>
    <row r="17" spans="1:10" ht="21.95" customHeight="1" thickBot="1" x14ac:dyDescent="0.3">
      <c r="A17" s="356"/>
      <c r="B17" s="377"/>
      <c r="C17" s="377"/>
      <c r="D17" s="115"/>
      <c r="E17" s="112"/>
      <c r="F17" s="112"/>
      <c r="G17" s="112"/>
      <c r="H17" s="112"/>
      <c r="I17" s="112"/>
      <c r="J17" s="184"/>
    </row>
    <row r="18" spans="1:10" ht="21.95" customHeight="1" thickBot="1" x14ac:dyDescent="0.3">
      <c r="A18" s="114" t="s">
        <v>100</v>
      </c>
      <c r="B18" s="378"/>
      <c r="C18" s="378"/>
      <c r="D18" s="185" t="e">
        <f t="shared" ref="D18:J18" si="0">D5+D10+D12</f>
        <v>#REF!</v>
      </c>
      <c r="E18" s="358" t="e">
        <f t="shared" si="0"/>
        <v>#REF!</v>
      </c>
      <c r="F18" s="93">
        <f t="shared" si="0"/>
        <v>1500</v>
      </c>
      <c r="G18" s="93">
        <f t="shared" si="0"/>
        <v>0</v>
      </c>
      <c r="H18" s="93">
        <f t="shared" si="0"/>
        <v>0</v>
      </c>
      <c r="I18" s="93">
        <f t="shared" si="0"/>
        <v>0</v>
      </c>
      <c r="J18" s="93">
        <f t="shared" si="0"/>
        <v>0</v>
      </c>
    </row>
    <row r="19" spans="1:10" ht="21.95" customHeight="1" x14ac:dyDescent="0.25"/>
    <row r="20" spans="1:10" ht="21.95" customHeight="1" x14ac:dyDescent="0.25">
      <c r="A20" s="156"/>
      <c r="B20" s="156"/>
      <c r="C20" s="156"/>
    </row>
  </sheetData>
  <mergeCells count="5">
    <mergeCell ref="A1:J1"/>
    <mergeCell ref="A2:A3"/>
    <mergeCell ref="B2:C2"/>
    <mergeCell ref="D2:E2"/>
    <mergeCell ref="G2:J2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94" orientation="portrait" horizontalDpi="300" verticalDpi="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workbookViewId="0">
      <selection activeCell="M14" sqref="M14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42578125" hidden="1" customWidth="1"/>
    <col min="5" max="5" width="9.7109375" hidden="1" customWidth="1"/>
    <col min="6" max="7" width="13.42578125" bestFit="1" customWidth="1"/>
  </cols>
  <sheetData>
    <row r="1" spans="1:10" ht="21.95" customHeight="1" x14ac:dyDescent="0.25">
      <c r="A1" s="929" t="s">
        <v>238</v>
      </c>
      <c r="B1" s="930"/>
      <c r="C1" s="930"/>
      <c r="D1" s="930"/>
      <c r="E1" s="930"/>
      <c r="F1" s="930"/>
      <c r="G1" s="930"/>
      <c r="H1" s="930"/>
      <c r="I1" s="930"/>
      <c r="J1" s="931"/>
    </row>
    <row r="2" spans="1:10" ht="21.95" customHeight="1" x14ac:dyDescent="0.25">
      <c r="A2" s="932" t="s">
        <v>1</v>
      </c>
      <c r="B2" s="934">
        <v>2010</v>
      </c>
      <c r="C2" s="935"/>
      <c r="D2" s="934">
        <v>2011</v>
      </c>
      <c r="E2" s="935"/>
      <c r="F2" s="366">
        <v>2012</v>
      </c>
      <c r="G2" s="934" t="s">
        <v>2</v>
      </c>
      <c r="H2" s="936"/>
      <c r="I2" s="936"/>
      <c r="J2" s="935"/>
    </row>
    <row r="3" spans="1:10" ht="21.95" customHeight="1" x14ac:dyDescent="0.25">
      <c r="A3" s="933"/>
      <c r="B3" s="364" t="s">
        <v>3</v>
      </c>
      <c r="C3" s="365" t="s">
        <v>4</v>
      </c>
      <c r="D3" s="364" t="s">
        <v>3</v>
      </c>
      <c r="E3" s="365" t="s">
        <v>4</v>
      </c>
      <c r="F3" s="196" t="s">
        <v>3</v>
      </c>
      <c r="G3" s="364" t="s">
        <v>5</v>
      </c>
      <c r="H3" s="367" t="s">
        <v>6</v>
      </c>
      <c r="I3" s="367" t="s">
        <v>7</v>
      </c>
      <c r="J3" s="367" t="s">
        <v>8</v>
      </c>
    </row>
    <row r="4" spans="1:10" ht="21.95" customHeight="1" x14ac:dyDescent="0.25">
      <c r="A4" s="126" t="s">
        <v>15</v>
      </c>
      <c r="B4" s="195"/>
      <c r="C4" s="195"/>
      <c r="D4" s="127">
        <f>SUM(D5:D7)</f>
        <v>0</v>
      </c>
      <c r="E4" s="127">
        <f>SUM(E5:E7)</f>
        <v>0</v>
      </c>
      <c r="F4" s="127">
        <f>SUM(F5:F7)</f>
        <v>0</v>
      </c>
      <c r="G4" s="127">
        <f>SUM(G5:G7)</f>
        <v>0</v>
      </c>
      <c r="H4" s="127"/>
      <c r="I4" s="127"/>
      <c r="J4" s="128"/>
    </row>
    <row r="5" spans="1:10" ht="21.95" customHeight="1" x14ac:dyDescent="0.25">
      <c r="A5" s="187" t="s">
        <v>144</v>
      </c>
      <c r="B5" s="188"/>
      <c r="C5" s="188"/>
      <c r="D5" s="189"/>
      <c r="E5" s="166"/>
      <c r="F5" s="166"/>
      <c r="G5" s="166"/>
      <c r="H5" s="166"/>
      <c r="I5" s="166"/>
      <c r="J5" s="168"/>
    </row>
    <row r="6" spans="1:10" ht="21.95" customHeight="1" x14ac:dyDescent="0.25">
      <c r="A6" s="164" t="s">
        <v>139</v>
      </c>
      <c r="B6" s="165"/>
      <c r="C6" s="165"/>
      <c r="D6" s="109"/>
      <c r="E6" s="166"/>
      <c r="F6" s="166"/>
      <c r="G6" s="166"/>
      <c r="H6" s="166"/>
      <c r="I6" s="166"/>
      <c r="J6" s="168"/>
    </row>
    <row r="7" spans="1:10" ht="21.95" customHeight="1" x14ac:dyDescent="0.25">
      <c r="A7" s="187" t="s">
        <v>140</v>
      </c>
      <c r="B7" s="188"/>
      <c r="C7" s="188"/>
      <c r="D7" s="189"/>
      <c r="E7" s="166"/>
      <c r="F7" s="166"/>
      <c r="G7" s="166"/>
      <c r="H7" s="166"/>
      <c r="I7" s="166"/>
      <c r="J7" s="168"/>
    </row>
    <row r="8" spans="1:10" ht="21.95" customHeight="1" x14ac:dyDescent="0.25">
      <c r="A8" s="192"/>
      <c r="B8" s="193"/>
      <c r="C8" s="193"/>
      <c r="D8" s="189"/>
      <c r="E8" s="109"/>
      <c r="F8" s="109"/>
      <c r="G8" s="109"/>
      <c r="H8" s="109"/>
      <c r="I8" s="109"/>
      <c r="J8" s="125"/>
    </row>
    <row r="9" spans="1:10" ht="21.95" customHeight="1" x14ac:dyDescent="0.25">
      <c r="A9" s="126" t="s">
        <v>141</v>
      </c>
      <c r="B9" s="195"/>
      <c r="C9" s="195"/>
      <c r="D9" s="127"/>
      <c r="E9" s="127"/>
      <c r="F9" s="127"/>
      <c r="G9" s="127"/>
      <c r="H9" s="127"/>
      <c r="I9" s="127"/>
      <c r="J9" s="128"/>
    </row>
    <row r="10" spans="1:10" ht="21.95" customHeight="1" x14ac:dyDescent="0.25">
      <c r="A10" s="196"/>
      <c r="B10" s="197"/>
      <c r="C10" s="197"/>
      <c r="D10" s="189"/>
      <c r="E10" s="109"/>
      <c r="F10" s="109"/>
      <c r="G10" s="109"/>
      <c r="H10" s="109"/>
      <c r="I10" s="109"/>
      <c r="J10" s="125"/>
    </row>
    <row r="11" spans="1:10" ht="21.95" customHeight="1" x14ac:dyDescent="0.25">
      <c r="A11" s="126" t="s">
        <v>142</v>
      </c>
      <c r="B11" s="127" t="e">
        <f>#REF!+#REF!+#REF!</f>
        <v>#REF!</v>
      </c>
      <c r="C11" s="127" t="e">
        <f>#REF!+#REF!+#REF!</f>
        <v>#REF!</v>
      </c>
      <c r="D11" s="127" t="e">
        <f>#REF!+#REF!+#REF!</f>
        <v>#REF!</v>
      </c>
      <c r="E11" s="127" t="e">
        <f>#REF!+#REF!+#REF!</f>
        <v>#REF!</v>
      </c>
      <c r="F11" s="127">
        <f>SUM(F13)</f>
        <v>10000</v>
      </c>
      <c r="G11" s="127">
        <f>SUM(H11:J11)</f>
        <v>0</v>
      </c>
      <c r="H11" s="127"/>
      <c r="I11" s="127"/>
      <c r="J11" s="128"/>
    </row>
    <row r="12" spans="1:10" ht="21.95" customHeight="1" x14ac:dyDescent="0.25">
      <c r="A12" s="196"/>
      <c r="B12" s="197"/>
      <c r="C12" s="197"/>
      <c r="D12" s="199"/>
      <c r="E12" s="108"/>
      <c r="F12" s="108"/>
      <c r="G12" s="108"/>
      <c r="H12" s="108"/>
      <c r="I12" s="108"/>
      <c r="J12" s="229"/>
    </row>
    <row r="13" spans="1:10" ht="21.95" customHeight="1" x14ac:dyDescent="0.25">
      <c r="A13" s="164" t="s">
        <v>239</v>
      </c>
      <c r="B13" s="165"/>
      <c r="C13" s="165"/>
      <c r="D13" s="109">
        <v>10000</v>
      </c>
      <c r="E13" s="109">
        <v>10837</v>
      </c>
      <c r="F13" s="109">
        <v>10000</v>
      </c>
      <c r="G13" s="109"/>
      <c r="H13" s="109"/>
      <c r="I13" s="109"/>
      <c r="J13" s="125"/>
    </row>
    <row r="14" spans="1:10" ht="21.95" customHeight="1" x14ac:dyDescent="0.25">
      <c r="A14" s="192"/>
      <c r="B14" s="193"/>
      <c r="C14" s="193"/>
      <c r="D14" s="199"/>
      <c r="E14" s="108"/>
      <c r="F14" s="108"/>
      <c r="G14" s="108"/>
      <c r="H14" s="108"/>
      <c r="I14" s="108"/>
      <c r="J14" s="229"/>
    </row>
    <row r="15" spans="1:10" ht="21.95" customHeight="1" x14ac:dyDescent="0.25">
      <c r="A15" s="164"/>
      <c r="B15" s="165"/>
      <c r="C15" s="165"/>
      <c r="D15" s="189"/>
      <c r="E15" s="109"/>
      <c r="F15" s="109"/>
      <c r="G15" s="109"/>
      <c r="H15" s="109"/>
      <c r="I15" s="109"/>
      <c r="J15" s="125"/>
    </row>
    <row r="16" spans="1:10" ht="21.95" customHeight="1" thickBot="1" x14ac:dyDescent="0.3">
      <c r="A16" s="230"/>
      <c r="B16" s="214"/>
      <c r="C16" s="214"/>
      <c r="D16" s="132"/>
      <c r="E16" s="206"/>
      <c r="F16" s="206"/>
      <c r="G16" s="206"/>
      <c r="H16" s="206"/>
      <c r="I16" s="206"/>
      <c r="J16" s="207"/>
    </row>
    <row r="17" spans="1:10" ht="21.95" customHeight="1" thickBot="1" x14ac:dyDescent="0.3">
      <c r="A17" s="208" t="s">
        <v>100</v>
      </c>
      <c r="B17" s="209" t="e">
        <f t="shared" ref="B17:G17" si="0">B4+B9+B11</f>
        <v>#REF!</v>
      </c>
      <c r="C17" s="209" t="e">
        <f t="shared" si="0"/>
        <v>#REF!</v>
      </c>
      <c r="D17" s="209" t="e">
        <f t="shared" si="0"/>
        <v>#REF!</v>
      </c>
      <c r="E17" s="136" t="e">
        <f t="shared" si="0"/>
        <v>#REF!</v>
      </c>
      <c r="F17" s="137">
        <f t="shared" si="0"/>
        <v>10000</v>
      </c>
      <c r="G17" s="137">
        <f t="shared" si="0"/>
        <v>0</v>
      </c>
      <c r="H17" s="137"/>
      <c r="I17" s="137"/>
      <c r="J17" s="137"/>
    </row>
    <row r="18" spans="1:10" ht="21.95" customHeight="1" x14ac:dyDescent="0.25"/>
    <row r="19" spans="1:10" ht="21.95" customHeight="1" x14ac:dyDescent="0.25">
      <c r="A19" s="156"/>
      <c r="B19" s="156"/>
      <c r="C19" s="156"/>
    </row>
  </sheetData>
  <mergeCells count="5">
    <mergeCell ref="A1:J1"/>
    <mergeCell ref="A2:A3"/>
    <mergeCell ref="B2:C2"/>
    <mergeCell ref="D2:E2"/>
    <mergeCell ref="G2:J2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94" orientation="portrait" horizontalDpi="300" verticalDpi="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M14" sqref="M14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42578125" hidden="1" customWidth="1"/>
    <col min="5" max="5" width="9.7109375" hidden="1" customWidth="1"/>
    <col min="6" max="7" width="13.42578125" bestFit="1" customWidth="1"/>
  </cols>
  <sheetData>
    <row r="1" spans="1:10" ht="21.95" customHeight="1" thickBot="1" x14ac:dyDescent="0.35">
      <c r="A1" s="925" t="s">
        <v>237</v>
      </c>
      <c r="B1" s="926"/>
      <c r="C1" s="926"/>
      <c r="D1" s="926"/>
      <c r="E1" s="926"/>
      <c r="F1" s="926"/>
      <c r="G1" s="926"/>
      <c r="H1" s="926"/>
      <c r="I1" s="926"/>
      <c r="J1" s="927"/>
    </row>
    <row r="2" spans="1:10" ht="21.95" customHeight="1" thickBot="1" x14ac:dyDescent="0.3">
      <c r="A2" s="894" t="s">
        <v>1</v>
      </c>
      <c r="B2" s="907">
        <v>2010</v>
      </c>
      <c r="C2" s="908"/>
      <c r="D2" s="907">
        <v>2011</v>
      </c>
      <c r="E2" s="908"/>
      <c r="F2" s="154">
        <v>2012</v>
      </c>
      <c r="G2" s="815" t="s">
        <v>2</v>
      </c>
      <c r="H2" s="928"/>
      <c r="I2" s="928"/>
      <c r="J2" s="816"/>
    </row>
    <row r="3" spans="1:10" ht="21.95" customHeight="1" thickBot="1" x14ac:dyDescent="0.3">
      <c r="A3" s="895"/>
      <c r="B3" s="337" t="s">
        <v>3</v>
      </c>
      <c r="C3" s="335" t="s">
        <v>4</v>
      </c>
      <c r="D3" s="337" t="s">
        <v>3</v>
      </c>
      <c r="E3" s="335" t="s">
        <v>4</v>
      </c>
      <c r="F3" s="338" t="s">
        <v>3</v>
      </c>
      <c r="G3" s="72" t="s">
        <v>5</v>
      </c>
      <c r="H3" s="95" t="s">
        <v>6</v>
      </c>
      <c r="I3" s="95" t="s">
        <v>7</v>
      </c>
      <c r="J3" s="95" t="s">
        <v>8</v>
      </c>
    </row>
    <row r="4" spans="1:10" ht="21.95" customHeight="1" x14ac:dyDescent="0.25">
      <c r="A4" s="359"/>
      <c r="B4" s="360"/>
      <c r="C4" s="361"/>
      <c r="D4" s="360"/>
      <c r="E4" s="361"/>
      <c r="F4" s="362"/>
      <c r="G4" s="362"/>
      <c r="H4" s="343"/>
      <c r="I4" s="343"/>
      <c r="J4" s="343"/>
    </row>
    <row r="5" spans="1:10" ht="21.95" customHeight="1" x14ac:dyDescent="0.25">
      <c r="A5" s="344" t="s">
        <v>15</v>
      </c>
      <c r="B5" s="345"/>
      <c r="C5" s="345"/>
      <c r="D5" s="346">
        <f>SUM(D6:D8)</f>
        <v>0</v>
      </c>
      <c r="E5" s="346">
        <f>SUM(E6:E8)</f>
        <v>0</v>
      </c>
      <c r="F5" s="346">
        <f>SUM(F6:F8)</f>
        <v>0</v>
      </c>
      <c r="G5" s="346">
        <f>SUM(G6:G8)</f>
        <v>0</v>
      </c>
      <c r="H5" s="346"/>
      <c r="I5" s="346"/>
      <c r="J5" s="346"/>
    </row>
    <row r="6" spans="1:10" ht="21.95" customHeight="1" x14ac:dyDescent="0.25">
      <c r="A6" s="83" t="s">
        <v>144</v>
      </c>
      <c r="B6" s="84"/>
      <c r="C6" s="84"/>
      <c r="D6" s="81"/>
      <c r="E6" s="85"/>
      <c r="F6" s="85"/>
      <c r="G6" s="85"/>
      <c r="H6" s="85"/>
      <c r="I6" s="85"/>
      <c r="J6" s="85"/>
    </row>
    <row r="7" spans="1:10" ht="21.95" customHeight="1" x14ac:dyDescent="0.25">
      <c r="A7" s="83" t="s">
        <v>139</v>
      </c>
      <c r="B7" s="84"/>
      <c r="C7" s="84"/>
      <c r="D7" s="81"/>
      <c r="E7" s="85"/>
      <c r="F7" s="85"/>
      <c r="G7" s="85"/>
      <c r="H7" s="85"/>
      <c r="I7" s="85"/>
      <c r="J7" s="85"/>
    </row>
    <row r="8" spans="1:10" ht="21.95" customHeight="1" x14ac:dyDescent="0.25">
      <c r="A8" s="83" t="s">
        <v>140</v>
      </c>
      <c r="B8" s="84"/>
      <c r="C8" s="84"/>
      <c r="D8" s="81"/>
      <c r="E8" s="85"/>
      <c r="F8" s="85"/>
      <c r="G8" s="85"/>
      <c r="H8" s="85"/>
      <c r="I8" s="85"/>
      <c r="J8" s="85"/>
    </row>
    <row r="9" spans="1:10" ht="21.95" customHeight="1" x14ac:dyDescent="0.25">
      <c r="A9" s="88"/>
      <c r="B9" s="89"/>
      <c r="C9" s="89"/>
      <c r="D9" s="81"/>
      <c r="E9" s="81"/>
      <c r="F9" s="81"/>
      <c r="G9" s="81"/>
      <c r="H9" s="81"/>
      <c r="I9" s="81"/>
      <c r="J9" s="81"/>
    </row>
    <row r="10" spans="1:10" ht="21.95" customHeight="1" x14ac:dyDescent="0.25">
      <c r="A10" s="344" t="s">
        <v>141</v>
      </c>
      <c r="B10" s="345"/>
      <c r="C10" s="345"/>
      <c r="D10" s="346"/>
      <c r="E10" s="346"/>
      <c r="F10" s="346"/>
      <c r="G10" s="346">
        <f>SUM(H10:J10)</f>
        <v>0</v>
      </c>
      <c r="H10" s="346"/>
      <c r="I10" s="346"/>
      <c r="J10" s="346"/>
    </row>
    <row r="11" spans="1:10" ht="21.95" customHeight="1" x14ac:dyDescent="0.25">
      <c r="A11" s="86"/>
      <c r="B11" s="87"/>
      <c r="C11" s="87"/>
      <c r="D11" s="81"/>
      <c r="E11" s="81"/>
      <c r="F11" s="81"/>
      <c r="G11" s="81"/>
      <c r="H11" s="81"/>
      <c r="I11" s="81"/>
      <c r="J11" s="81"/>
    </row>
    <row r="12" spans="1:10" ht="21.95" customHeight="1" x14ac:dyDescent="0.25">
      <c r="A12" s="363" t="s">
        <v>142</v>
      </c>
      <c r="B12" s="90" t="e">
        <f>#REF!+B13+#REF!</f>
        <v>#REF!</v>
      </c>
      <c r="C12" s="90" t="e">
        <f>#REF!+C13+#REF!</f>
        <v>#REF!</v>
      </c>
      <c r="D12" s="90" t="e">
        <f>#REF!+D13+#REF!</f>
        <v>#REF!</v>
      </c>
      <c r="E12" s="90" t="e">
        <f>#REF!+E13+#REF!</f>
        <v>#REF!</v>
      </c>
      <c r="F12" s="90">
        <f>F13</f>
        <v>45645</v>
      </c>
      <c r="G12" s="90">
        <f>SUM(H12:J12)</f>
        <v>0</v>
      </c>
      <c r="H12" s="90"/>
      <c r="I12" s="90"/>
      <c r="J12" s="90"/>
    </row>
    <row r="13" spans="1:10" ht="21.95" customHeight="1" x14ac:dyDescent="0.25">
      <c r="A13" s="86" t="s">
        <v>7</v>
      </c>
      <c r="B13" s="87"/>
      <c r="C13" s="87"/>
      <c r="D13" s="90">
        <f>SUM(D14:D14)</f>
        <v>26926</v>
      </c>
      <c r="E13" s="90" t="e">
        <f>SUM(#REF!)</f>
        <v>#REF!</v>
      </c>
      <c r="F13" s="90">
        <f>SUM(F14:F14)</f>
        <v>45645</v>
      </c>
      <c r="G13" s="90">
        <f>SUM(H13:J13)</f>
        <v>0</v>
      </c>
      <c r="H13" s="90"/>
      <c r="I13" s="90"/>
      <c r="J13" s="90"/>
    </row>
    <row r="14" spans="1:10" ht="21.95" customHeight="1" x14ac:dyDescent="0.25">
      <c r="A14" s="83" t="s">
        <v>154</v>
      </c>
      <c r="B14" s="84"/>
      <c r="C14" s="84"/>
      <c r="D14" s="81">
        <v>26926</v>
      </c>
      <c r="E14" s="81"/>
      <c r="F14" s="81">
        <v>45645</v>
      </c>
      <c r="G14" s="81"/>
      <c r="H14" s="81"/>
      <c r="I14" s="81"/>
      <c r="J14" s="81"/>
    </row>
    <row r="15" spans="1:10" ht="21.95" customHeight="1" x14ac:dyDescent="0.25">
      <c r="A15" s="83"/>
      <c r="B15" s="84"/>
      <c r="C15" s="84"/>
      <c r="D15" s="81"/>
      <c r="E15" s="81"/>
      <c r="F15" s="81"/>
      <c r="G15" s="81"/>
      <c r="H15" s="81"/>
      <c r="I15" s="81"/>
      <c r="J15" s="81"/>
    </row>
    <row r="16" spans="1:10" ht="21.95" customHeight="1" thickBot="1" x14ac:dyDescent="0.3">
      <c r="A16" s="110"/>
      <c r="B16" s="111"/>
      <c r="C16" s="111"/>
      <c r="D16" s="112"/>
      <c r="E16" s="112"/>
      <c r="F16" s="112"/>
      <c r="G16" s="112"/>
      <c r="H16" s="112"/>
      <c r="I16" s="112"/>
      <c r="J16" s="112"/>
    </row>
    <row r="17" spans="1:10" ht="21.95" customHeight="1" thickBot="1" x14ac:dyDescent="0.3">
      <c r="A17" s="114" t="s">
        <v>100</v>
      </c>
      <c r="B17" s="185" t="e">
        <f t="shared" ref="B17:G17" si="0">B5+B10+B12</f>
        <v>#REF!</v>
      </c>
      <c r="C17" s="185" t="e">
        <f t="shared" si="0"/>
        <v>#REF!</v>
      </c>
      <c r="D17" s="185" t="e">
        <f t="shared" si="0"/>
        <v>#REF!</v>
      </c>
      <c r="E17" s="358" t="e">
        <f t="shared" si="0"/>
        <v>#REF!</v>
      </c>
      <c r="F17" s="93">
        <f t="shared" si="0"/>
        <v>45645</v>
      </c>
      <c r="G17" s="93">
        <f t="shared" si="0"/>
        <v>0</v>
      </c>
      <c r="H17" s="93"/>
      <c r="I17" s="93"/>
      <c r="J17" s="93"/>
    </row>
    <row r="18" spans="1:10" ht="21.95" customHeight="1" x14ac:dyDescent="0.25"/>
    <row r="19" spans="1:10" ht="21.95" customHeight="1" x14ac:dyDescent="0.25">
      <c r="A19" s="156"/>
      <c r="B19" s="156"/>
      <c r="C19" s="156"/>
    </row>
  </sheetData>
  <mergeCells count="5">
    <mergeCell ref="A1:J1"/>
    <mergeCell ref="A2:A3"/>
    <mergeCell ref="B2:C2"/>
    <mergeCell ref="D2:E2"/>
    <mergeCell ref="G2:J2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94" orientation="portrait" horizontalDpi="300" verticalDpi="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M14" sqref="M14"/>
    </sheetView>
  </sheetViews>
  <sheetFormatPr baseColWidth="10" defaultColWidth="11.42578125" defaultRowHeight="15" customHeight="1" x14ac:dyDescent="0.25"/>
  <cols>
    <col min="1" max="1" width="34" customWidth="1"/>
    <col min="2" max="3" width="12.7109375" hidden="1" customWidth="1"/>
    <col min="4" max="4" width="13.42578125" hidden="1" customWidth="1"/>
    <col min="5" max="5" width="9.7109375" hidden="1" customWidth="1"/>
    <col min="6" max="7" width="13.42578125" bestFit="1" customWidth="1"/>
  </cols>
  <sheetData>
    <row r="1" spans="1:10" ht="21.95" customHeight="1" thickBot="1" x14ac:dyDescent="0.35">
      <c r="A1" s="925" t="s">
        <v>234</v>
      </c>
      <c r="B1" s="926"/>
      <c r="C1" s="926"/>
      <c r="D1" s="926"/>
      <c r="E1" s="926"/>
      <c r="F1" s="926"/>
      <c r="G1" s="926"/>
      <c r="H1" s="926"/>
      <c r="I1" s="926"/>
      <c r="J1" s="927"/>
    </row>
    <row r="2" spans="1:10" ht="21.95" customHeight="1" thickBot="1" x14ac:dyDescent="0.3">
      <c r="A2" s="921" t="s">
        <v>1</v>
      </c>
      <c r="B2" s="937">
        <v>2010</v>
      </c>
      <c r="C2" s="938"/>
      <c r="D2" s="937">
        <v>2011</v>
      </c>
      <c r="E2" s="938"/>
      <c r="F2" s="336">
        <v>2012</v>
      </c>
      <c r="G2" s="815" t="s">
        <v>2</v>
      </c>
      <c r="H2" s="928"/>
      <c r="I2" s="928"/>
      <c r="J2" s="816"/>
    </row>
    <row r="3" spans="1:10" ht="21.95" customHeight="1" thickBot="1" x14ac:dyDescent="0.3">
      <c r="A3" s="895"/>
      <c r="B3" s="337" t="s">
        <v>3</v>
      </c>
      <c r="C3" s="335" t="s">
        <v>4</v>
      </c>
      <c r="D3" s="337" t="s">
        <v>3</v>
      </c>
      <c r="E3" s="335" t="s">
        <v>4</v>
      </c>
      <c r="F3" s="338" t="s">
        <v>3</v>
      </c>
      <c r="G3" s="72" t="s">
        <v>5</v>
      </c>
      <c r="H3" s="95" t="s">
        <v>6</v>
      </c>
      <c r="I3" s="95" t="s">
        <v>7</v>
      </c>
      <c r="J3" s="95" t="s">
        <v>8</v>
      </c>
    </row>
    <row r="4" spans="1:10" ht="21.95" customHeight="1" x14ac:dyDescent="0.25">
      <c r="A4" s="339"/>
      <c r="B4" s="340"/>
      <c r="C4" s="341"/>
      <c r="D4" s="340"/>
      <c r="E4" s="341"/>
      <c r="F4" s="342"/>
      <c r="G4" s="342"/>
      <c r="H4" s="343"/>
      <c r="I4" s="343"/>
      <c r="J4" s="343"/>
    </row>
    <row r="5" spans="1:10" ht="21.95" customHeight="1" x14ac:dyDescent="0.25">
      <c r="A5" s="344" t="s">
        <v>15</v>
      </c>
      <c r="B5" s="345"/>
      <c r="C5" s="345"/>
      <c r="D5" s="346">
        <f>SUM(D6:D8)</f>
        <v>0</v>
      </c>
      <c r="E5" s="346">
        <f>SUM(E6:E8)</f>
        <v>0</v>
      </c>
      <c r="F5" s="346">
        <f>SUM(F6:F8)</f>
        <v>0</v>
      </c>
      <c r="G5" s="346">
        <f>SUM(G6:G8)</f>
        <v>0</v>
      </c>
      <c r="H5" s="346"/>
      <c r="I5" s="346"/>
      <c r="J5" s="346"/>
    </row>
    <row r="6" spans="1:10" ht="21.95" customHeight="1" x14ac:dyDescent="0.25">
      <c r="A6" s="98" t="s">
        <v>144</v>
      </c>
      <c r="B6" s="99"/>
      <c r="C6" s="99"/>
      <c r="D6" s="100"/>
      <c r="E6" s="85"/>
      <c r="F6" s="85"/>
      <c r="G6" s="85"/>
      <c r="H6" s="85"/>
      <c r="I6" s="85"/>
      <c r="J6" s="85"/>
    </row>
    <row r="7" spans="1:10" ht="21.95" customHeight="1" x14ac:dyDescent="0.25">
      <c r="A7" s="83" t="s">
        <v>139</v>
      </c>
      <c r="B7" s="84"/>
      <c r="C7" s="84"/>
      <c r="D7" s="81"/>
      <c r="E7" s="85"/>
      <c r="F7" s="85"/>
      <c r="G7" s="85"/>
      <c r="H7" s="85"/>
      <c r="I7" s="85"/>
      <c r="J7" s="85"/>
    </row>
    <row r="8" spans="1:10" ht="21.95" customHeight="1" x14ac:dyDescent="0.25">
      <c r="A8" s="98" t="s">
        <v>140</v>
      </c>
      <c r="B8" s="99"/>
      <c r="C8" s="99"/>
      <c r="D8" s="100"/>
      <c r="E8" s="85"/>
      <c r="F8" s="85"/>
      <c r="G8" s="85"/>
      <c r="H8" s="85"/>
      <c r="I8" s="85"/>
      <c r="J8" s="85"/>
    </row>
    <row r="9" spans="1:10" ht="21.95" customHeight="1" x14ac:dyDescent="0.25">
      <c r="A9" s="347"/>
      <c r="B9" s="348"/>
      <c r="C9" s="348"/>
      <c r="D9" s="100"/>
      <c r="E9" s="81"/>
      <c r="F9" s="81"/>
      <c r="G9" s="81"/>
      <c r="H9" s="81"/>
      <c r="I9" s="81"/>
      <c r="J9" s="81"/>
    </row>
    <row r="10" spans="1:10" ht="21.95" customHeight="1" x14ac:dyDescent="0.25">
      <c r="A10" s="344" t="s">
        <v>141</v>
      </c>
      <c r="B10" s="345"/>
      <c r="C10" s="345"/>
      <c r="D10" s="346"/>
      <c r="E10" s="346"/>
      <c r="F10" s="346">
        <v>0</v>
      </c>
      <c r="G10" s="346">
        <f>SUM(H10:J10)</f>
        <v>0</v>
      </c>
      <c r="H10" s="346"/>
      <c r="I10" s="346"/>
      <c r="J10" s="346"/>
    </row>
    <row r="11" spans="1:10" ht="21.95" customHeight="1" x14ac:dyDescent="0.25">
      <c r="A11" s="349"/>
      <c r="B11" s="350"/>
      <c r="C11" s="350"/>
      <c r="D11" s="100"/>
      <c r="E11" s="81"/>
      <c r="F11" s="81"/>
      <c r="G11" s="81"/>
      <c r="H11" s="81"/>
      <c r="I11" s="81"/>
      <c r="J11" s="81"/>
    </row>
    <row r="12" spans="1:10" ht="21.95" customHeight="1" x14ac:dyDescent="0.25">
      <c r="A12" s="344" t="s">
        <v>142</v>
      </c>
      <c r="B12" s="346" t="e">
        <f>#REF!+#REF!+#REF!</f>
        <v>#REF!</v>
      </c>
      <c r="C12" s="346" t="e">
        <f>#REF!+#REF!+#REF!</f>
        <v>#REF!</v>
      </c>
      <c r="D12" s="346" t="e">
        <f>#REF!+#REF!+#REF!</f>
        <v>#REF!</v>
      </c>
      <c r="E12" s="346" t="e">
        <f>#REF!+#REF!+#REF!</f>
        <v>#REF!</v>
      </c>
      <c r="F12" s="346">
        <f>SUM(F13:F15)</f>
        <v>35312</v>
      </c>
      <c r="G12" s="346">
        <f>SUM(H12:J12)</f>
        <v>0</v>
      </c>
      <c r="H12" s="346"/>
      <c r="I12" s="346"/>
      <c r="J12" s="346"/>
    </row>
    <row r="13" spans="1:10" ht="31.5" customHeight="1" x14ac:dyDescent="0.25">
      <c r="A13" s="351" t="s">
        <v>235</v>
      </c>
      <c r="B13" s="352">
        <v>1312</v>
      </c>
      <c r="C13" s="352">
        <v>0</v>
      </c>
      <c r="D13" s="81">
        <v>1312</v>
      </c>
      <c r="E13" s="81">
        <v>0</v>
      </c>
      <c r="F13" s="81">
        <v>1312</v>
      </c>
      <c r="G13" s="81"/>
      <c r="H13" s="81"/>
      <c r="I13" s="81"/>
      <c r="J13" s="81"/>
    </row>
    <row r="14" spans="1:10" ht="31.5" customHeight="1" x14ac:dyDescent="0.25">
      <c r="A14" s="353" t="s">
        <v>236</v>
      </c>
      <c r="B14" s="354"/>
      <c r="C14" s="354"/>
      <c r="D14" s="355">
        <v>10000</v>
      </c>
      <c r="E14" s="355">
        <v>0</v>
      </c>
      <c r="F14" s="355">
        <v>10000</v>
      </c>
      <c r="G14" s="355"/>
      <c r="H14" s="355"/>
      <c r="I14" s="355"/>
      <c r="J14" s="355"/>
    </row>
    <row r="15" spans="1:10" ht="21.95" customHeight="1" x14ac:dyDescent="0.25">
      <c r="A15" s="83" t="s">
        <v>151</v>
      </c>
      <c r="B15" s="84">
        <v>24000</v>
      </c>
      <c r="C15" s="84">
        <v>33012</v>
      </c>
      <c r="D15" s="81">
        <v>24000</v>
      </c>
      <c r="E15" s="81">
        <v>257322</v>
      </c>
      <c r="F15" s="81">
        <v>24000</v>
      </c>
      <c r="G15" s="81"/>
      <c r="H15" s="81"/>
      <c r="I15" s="81"/>
      <c r="J15" s="81"/>
    </row>
    <row r="16" spans="1:10" ht="21.95" customHeight="1" x14ac:dyDescent="0.25">
      <c r="A16" s="83"/>
      <c r="B16" s="84"/>
      <c r="C16" s="84"/>
      <c r="D16" s="81"/>
      <c r="E16" s="81"/>
      <c r="F16" s="81"/>
      <c r="G16" s="81"/>
      <c r="H16" s="81"/>
      <c r="I16" s="81"/>
      <c r="J16" s="81"/>
    </row>
    <row r="17" spans="1:10" ht="21.95" customHeight="1" x14ac:dyDescent="0.25">
      <c r="A17" s="83"/>
      <c r="B17" s="84"/>
      <c r="C17" s="84"/>
      <c r="D17" s="90"/>
      <c r="E17" s="90"/>
      <c r="F17" s="90"/>
      <c r="G17" s="90"/>
      <c r="H17" s="90"/>
      <c r="I17" s="90"/>
      <c r="J17" s="90"/>
    </row>
    <row r="18" spans="1:10" ht="21.95" customHeight="1" x14ac:dyDescent="0.25">
      <c r="A18" s="86"/>
      <c r="B18" s="87"/>
      <c r="C18" s="87"/>
      <c r="D18" s="81"/>
      <c r="E18" s="81"/>
      <c r="F18" s="81"/>
      <c r="G18" s="81"/>
      <c r="H18" s="81"/>
      <c r="I18" s="81"/>
      <c r="J18" s="81"/>
    </row>
    <row r="19" spans="1:10" ht="21.95" customHeight="1" x14ac:dyDescent="0.25">
      <c r="A19" s="88"/>
      <c r="B19" s="89"/>
      <c r="C19" s="89"/>
      <c r="D19" s="81"/>
      <c r="E19" s="81"/>
      <c r="F19" s="81"/>
      <c r="G19" s="81"/>
      <c r="H19" s="81"/>
      <c r="I19" s="81"/>
      <c r="J19" s="81"/>
    </row>
    <row r="20" spans="1:10" ht="21.95" customHeight="1" thickBot="1" x14ac:dyDescent="0.3">
      <c r="A20" s="356"/>
      <c r="B20" s="357"/>
      <c r="C20" s="357"/>
      <c r="D20" s="115"/>
      <c r="E20" s="112"/>
      <c r="F20" s="112"/>
      <c r="G20" s="112"/>
      <c r="H20" s="112"/>
      <c r="I20" s="112"/>
      <c r="J20" s="112"/>
    </row>
    <row r="21" spans="1:10" ht="21.95" customHeight="1" thickBot="1" x14ac:dyDescent="0.3">
      <c r="A21" s="114" t="s">
        <v>100</v>
      </c>
      <c r="B21" s="185" t="e">
        <f t="shared" ref="B21:G21" si="0">B5+B10+B12</f>
        <v>#REF!</v>
      </c>
      <c r="C21" s="185" t="e">
        <f t="shared" si="0"/>
        <v>#REF!</v>
      </c>
      <c r="D21" s="185" t="e">
        <f t="shared" si="0"/>
        <v>#REF!</v>
      </c>
      <c r="E21" s="358" t="e">
        <f t="shared" si="0"/>
        <v>#REF!</v>
      </c>
      <c r="F21" s="93">
        <f t="shared" si="0"/>
        <v>35312</v>
      </c>
      <c r="G21" s="93">
        <f t="shared" si="0"/>
        <v>0</v>
      </c>
      <c r="H21" s="93"/>
      <c r="I21" s="93"/>
      <c r="J21" s="93"/>
    </row>
    <row r="22" spans="1:10" ht="21.95" customHeight="1" x14ac:dyDescent="0.25"/>
    <row r="23" spans="1:10" ht="21.95" customHeight="1" x14ac:dyDescent="0.25">
      <c r="A23" s="156"/>
      <c r="B23" s="156"/>
      <c r="C23" s="156"/>
    </row>
  </sheetData>
  <mergeCells count="5">
    <mergeCell ref="A1:J1"/>
    <mergeCell ref="A2:A3"/>
    <mergeCell ref="B2:C2"/>
    <mergeCell ref="D2:E2"/>
    <mergeCell ref="G2:J2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94" orientation="portrait" horizontalDpi="3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activeCell="F34" sqref="F34"/>
      <selection pane="bottomLeft" activeCell="F34" sqref="F34"/>
    </sheetView>
  </sheetViews>
  <sheetFormatPr baseColWidth="10" defaultColWidth="11.42578125" defaultRowHeight="15" customHeight="1" x14ac:dyDescent="0.25"/>
  <cols>
    <col min="1" max="1" width="34" customWidth="1"/>
    <col min="2" max="2" width="13.140625" hidden="1" customWidth="1"/>
    <col min="3" max="3" width="11.7109375" hidden="1" customWidth="1"/>
    <col min="4" max="4" width="13.140625" hidden="1" customWidth="1"/>
    <col min="5" max="5" width="9.7109375" hidden="1" customWidth="1"/>
    <col min="6" max="6" width="13.140625" bestFit="1" customWidth="1"/>
  </cols>
  <sheetData>
    <row r="1" spans="1:9" ht="15" customHeight="1" x14ac:dyDescent="0.25">
      <c r="A1" s="796" t="s">
        <v>290</v>
      </c>
      <c r="B1" s="797"/>
      <c r="C1" s="797"/>
      <c r="D1" s="797"/>
      <c r="E1" s="797"/>
      <c r="F1" s="797"/>
      <c r="G1" s="797"/>
      <c r="H1" s="797"/>
      <c r="I1" s="798"/>
    </row>
    <row r="2" spans="1:9" ht="19.5" customHeight="1" x14ac:dyDescent="0.25">
      <c r="A2" s="817" t="s">
        <v>9</v>
      </c>
      <c r="B2" s="818"/>
      <c r="C2" s="818"/>
      <c r="D2" s="818"/>
      <c r="E2" s="818"/>
      <c r="F2" s="818"/>
      <c r="G2" s="818"/>
      <c r="H2" s="818"/>
      <c r="I2" s="819"/>
    </row>
    <row r="3" spans="1:9" ht="19.5" customHeight="1" thickBot="1" x14ac:dyDescent="0.3">
      <c r="A3" s="820" t="s">
        <v>0</v>
      </c>
      <c r="B3" s="821"/>
      <c r="C3" s="821"/>
      <c r="D3" s="821"/>
      <c r="E3" s="821"/>
      <c r="F3" s="821"/>
      <c r="G3" s="821"/>
      <c r="H3" s="821"/>
      <c r="I3" s="822"/>
    </row>
    <row r="4" spans="1:9" ht="19.5" customHeight="1" thickBot="1" x14ac:dyDescent="0.3">
      <c r="A4" s="823" t="s">
        <v>1</v>
      </c>
      <c r="B4" s="664"/>
      <c r="C4" s="664"/>
      <c r="D4" s="664"/>
      <c r="E4" s="664"/>
      <c r="F4" s="824" t="s">
        <v>343</v>
      </c>
      <c r="G4" s="825"/>
      <c r="H4" s="825"/>
      <c r="I4" s="826"/>
    </row>
    <row r="5" spans="1:9" ht="16.5" customHeight="1" thickBot="1" x14ac:dyDescent="0.3">
      <c r="A5" s="790"/>
      <c r="B5" s="659" t="s">
        <v>3</v>
      </c>
      <c r="C5" s="659" t="s">
        <v>4</v>
      </c>
      <c r="D5" s="659" t="s">
        <v>3</v>
      </c>
      <c r="E5" s="659" t="s">
        <v>4</v>
      </c>
      <c r="F5" s="665" t="s">
        <v>5</v>
      </c>
      <c r="G5" s="666" t="s">
        <v>6</v>
      </c>
      <c r="H5" s="666" t="s">
        <v>7</v>
      </c>
      <c r="I5" s="666" t="s">
        <v>8</v>
      </c>
    </row>
    <row r="6" spans="1:9" ht="15.75" customHeight="1" x14ac:dyDescent="0.25">
      <c r="A6" s="231"/>
      <c r="B6" s="232"/>
      <c r="C6" s="232"/>
      <c r="D6" s="233"/>
      <c r="E6" s="233"/>
      <c r="F6" s="233"/>
      <c r="G6" s="233"/>
      <c r="H6" s="233"/>
      <c r="I6" s="457"/>
    </row>
    <row r="7" spans="1:9" ht="15.75" customHeight="1" x14ac:dyDescent="0.25">
      <c r="A7" s="234" t="s">
        <v>98</v>
      </c>
      <c r="B7" s="259">
        <v>234062</v>
      </c>
      <c r="C7" s="259">
        <f>63015+67016+63515+85515</f>
        <v>279061</v>
      </c>
      <c r="D7" s="157">
        <v>253862</v>
      </c>
      <c r="E7" s="157">
        <v>320362</v>
      </c>
      <c r="F7" s="157">
        <f>SUM(G7:I7)</f>
        <v>390246</v>
      </c>
      <c r="G7" s="157">
        <v>390246</v>
      </c>
      <c r="H7" s="157">
        <f>SUM(H8:H10)</f>
        <v>0</v>
      </c>
      <c r="I7" s="236">
        <f>SUM(I8:I10)</f>
        <v>0</v>
      </c>
    </row>
    <row r="8" spans="1:9" ht="15.75" customHeight="1" x14ac:dyDescent="0.25">
      <c r="A8" s="123"/>
      <c r="B8" s="129"/>
      <c r="C8" s="129"/>
      <c r="D8" s="109"/>
      <c r="E8" s="109"/>
      <c r="F8" s="109"/>
      <c r="G8" s="109"/>
      <c r="H8" s="109"/>
      <c r="I8" s="125"/>
    </row>
    <row r="9" spans="1:9" ht="15.75" customHeight="1" x14ac:dyDescent="0.25">
      <c r="A9" s="123"/>
      <c r="B9" s="129"/>
      <c r="C9" s="129"/>
      <c r="D9" s="109"/>
      <c r="E9" s="109"/>
      <c r="F9" s="109"/>
      <c r="G9" s="109"/>
      <c r="H9" s="109"/>
      <c r="I9" s="125"/>
    </row>
    <row r="10" spans="1:9" ht="15.75" customHeight="1" x14ac:dyDescent="0.25">
      <c r="A10" s="164"/>
      <c r="B10" s="165"/>
      <c r="C10" s="165"/>
      <c r="D10" s="166"/>
      <c r="E10" s="166"/>
      <c r="F10" s="109"/>
      <c r="G10" s="109"/>
      <c r="H10" s="109"/>
      <c r="I10" s="125"/>
    </row>
    <row r="11" spans="1:9" ht="15.75" customHeight="1" x14ac:dyDescent="0.25">
      <c r="A11" s="164" t="s">
        <v>99</v>
      </c>
      <c r="B11" s="165">
        <v>3938</v>
      </c>
      <c r="C11" s="165">
        <f>2325+1795+995</f>
        <v>5115</v>
      </c>
      <c r="D11" s="166">
        <v>4754</v>
      </c>
      <c r="E11" s="166">
        <v>4660</v>
      </c>
      <c r="F11" s="109">
        <f>SUM(G11:I11)</f>
        <v>4754</v>
      </c>
      <c r="G11" s="109">
        <v>0</v>
      </c>
      <c r="H11" s="109">
        <v>0</v>
      </c>
      <c r="I11" s="125">
        <v>4754</v>
      </c>
    </row>
    <row r="12" spans="1:9" ht="15.75" customHeight="1" x14ac:dyDescent="0.25">
      <c r="A12" s="164"/>
      <c r="B12" s="165"/>
      <c r="C12" s="165"/>
      <c r="D12" s="166"/>
      <c r="E12" s="166"/>
      <c r="F12" s="109"/>
      <c r="G12" s="109"/>
      <c r="H12" s="109"/>
      <c r="I12" s="125"/>
    </row>
    <row r="13" spans="1:9" ht="15.75" customHeight="1" x14ac:dyDescent="0.25">
      <c r="A13" s="123"/>
      <c r="B13" s="129">
        <v>14000</v>
      </c>
      <c r="C13" s="129">
        <v>14000</v>
      </c>
      <c r="D13" s="109">
        <v>30000</v>
      </c>
      <c r="E13" s="109">
        <v>30000</v>
      </c>
      <c r="F13" s="109"/>
      <c r="G13" s="109"/>
      <c r="H13" s="109"/>
      <c r="I13" s="125"/>
    </row>
    <row r="14" spans="1:9" ht="15.75" customHeight="1" x14ac:dyDescent="0.25">
      <c r="A14" s="306"/>
      <c r="B14" s="307"/>
      <c r="C14" s="307"/>
      <c r="D14" s="109"/>
      <c r="E14" s="109"/>
      <c r="F14" s="109"/>
      <c r="G14" s="109"/>
      <c r="H14" s="109"/>
      <c r="I14" s="125"/>
    </row>
    <row r="15" spans="1:9" ht="15.75" hidden="1" customHeight="1" x14ac:dyDescent="0.25">
      <c r="A15" s="164"/>
      <c r="B15" s="165"/>
      <c r="C15" s="165"/>
      <c r="D15" s="109"/>
      <c r="E15" s="109"/>
      <c r="F15" s="109">
        <f t="shared" ref="F15:F28" si="0">SUM(G15:I15)</f>
        <v>0</v>
      </c>
      <c r="G15" s="109"/>
      <c r="H15" s="109"/>
      <c r="I15" s="125"/>
    </row>
    <row r="16" spans="1:9" ht="15.75" hidden="1" customHeight="1" x14ac:dyDescent="0.25">
      <c r="A16" s="164"/>
      <c r="B16" s="165"/>
      <c r="C16" s="165"/>
      <c r="D16" s="109"/>
      <c r="E16" s="109"/>
      <c r="F16" s="109">
        <f t="shared" si="0"/>
        <v>0</v>
      </c>
      <c r="G16" s="109"/>
      <c r="H16" s="109"/>
      <c r="I16" s="125"/>
    </row>
    <row r="17" spans="1:9" ht="15.75" hidden="1" customHeight="1" x14ac:dyDescent="0.25">
      <c r="A17" s="164"/>
      <c r="B17" s="165"/>
      <c r="C17" s="165"/>
      <c r="D17" s="109"/>
      <c r="E17" s="109"/>
      <c r="F17" s="109">
        <f t="shared" si="0"/>
        <v>0</v>
      </c>
      <c r="G17" s="109"/>
      <c r="H17" s="109"/>
      <c r="I17" s="125"/>
    </row>
    <row r="18" spans="1:9" ht="15.75" hidden="1" customHeight="1" x14ac:dyDescent="0.25">
      <c r="A18" s="458"/>
      <c r="B18" s="107"/>
      <c r="C18" s="107"/>
      <c r="D18" s="108"/>
      <c r="E18" s="108"/>
      <c r="F18" s="108">
        <f t="shared" si="0"/>
        <v>0</v>
      </c>
      <c r="G18" s="108"/>
      <c r="H18" s="108"/>
      <c r="I18" s="229"/>
    </row>
    <row r="19" spans="1:9" ht="15.75" hidden="1" customHeight="1" x14ac:dyDescent="0.25">
      <c r="A19" s="227"/>
      <c r="B19" s="228"/>
      <c r="C19" s="228"/>
      <c r="D19" s="108"/>
      <c r="E19" s="108"/>
      <c r="F19" s="108">
        <f t="shared" si="0"/>
        <v>0</v>
      </c>
      <c r="G19" s="108"/>
      <c r="H19" s="108"/>
      <c r="I19" s="229"/>
    </row>
    <row r="20" spans="1:9" ht="15.75" hidden="1" customHeight="1" x14ac:dyDescent="0.25">
      <c r="A20" s="164"/>
      <c r="B20" s="165"/>
      <c r="C20" s="165"/>
      <c r="D20" s="109"/>
      <c r="E20" s="109"/>
      <c r="F20" s="109">
        <f t="shared" si="0"/>
        <v>0</v>
      </c>
      <c r="G20" s="109"/>
      <c r="H20" s="109"/>
      <c r="I20" s="125"/>
    </row>
    <row r="21" spans="1:9" ht="15.75" hidden="1" customHeight="1" x14ac:dyDescent="0.25">
      <c r="A21" s="164"/>
      <c r="B21" s="165"/>
      <c r="C21" s="165"/>
      <c r="D21" s="108"/>
      <c r="E21" s="108"/>
      <c r="F21" s="108">
        <f t="shared" si="0"/>
        <v>0</v>
      </c>
      <c r="G21" s="108"/>
      <c r="H21" s="108"/>
      <c r="I21" s="229"/>
    </row>
    <row r="22" spans="1:9" ht="15.75" hidden="1" customHeight="1" x14ac:dyDescent="0.25">
      <c r="A22" s="164"/>
      <c r="B22" s="165"/>
      <c r="C22" s="165"/>
      <c r="D22" s="108"/>
      <c r="E22" s="108"/>
      <c r="F22" s="108">
        <f t="shared" si="0"/>
        <v>0</v>
      </c>
      <c r="G22" s="108"/>
      <c r="H22" s="108"/>
      <c r="I22" s="229"/>
    </row>
    <row r="23" spans="1:9" ht="15.75" hidden="1" customHeight="1" x14ac:dyDescent="0.25">
      <c r="A23" s="227"/>
      <c r="B23" s="228"/>
      <c r="C23" s="228"/>
      <c r="D23" s="108"/>
      <c r="E23" s="108"/>
      <c r="F23" s="108">
        <f t="shared" si="0"/>
        <v>0</v>
      </c>
      <c r="G23" s="108"/>
      <c r="H23" s="108"/>
      <c r="I23" s="229"/>
    </row>
    <row r="24" spans="1:9" ht="15.75" hidden="1" customHeight="1" x14ac:dyDescent="0.25">
      <c r="A24" s="227"/>
      <c r="B24" s="228"/>
      <c r="C24" s="228"/>
      <c r="D24" s="108"/>
      <c r="E24" s="108"/>
      <c r="F24" s="108">
        <f t="shared" si="0"/>
        <v>0</v>
      </c>
      <c r="G24" s="108"/>
      <c r="H24" s="108"/>
      <c r="I24" s="229"/>
    </row>
    <row r="25" spans="1:9" ht="15.75" hidden="1" customHeight="1" x14ac:dyDescent="0.25">
      <c r="A25" s="227"/>
      <c r="B25" s="228"/>
      <c r="C25" s="228"/>
      <c r="D25" s="108"/>
      <c r="E25" s="108"/>
      <c r="F25" s="108">
        <f t="shared" si="0"/>
        <v>0</v>
      </c>
      <c r="G25" s="108"/>
      <c r="H25" s="108"/>
      <c r="I25" s="229"/>
    </row>
    <row r="26" spans="1:9" ht="15.75" hidden="1" customHeight="1" x14ac:dyDescent="0.25">
      <c r="A26" s="227"/>
      <c r="B26" s="228"/>
      <c r="C26" s="228"/>
      <c r="D26" s="108"/>
      <c r="E26" s="108"/>
      <c r="F26" s="108">
        <f t="shared" si="0"/>
        <v>0</v>
      </c>
      <c r="G26" s="108"/>
      <c r="H26" s="108"/>
      <c r="I26" s="229"/>
    </row>
    <row r="27" spans="1:9" ht="15.75" hidden="1" customHeight="1" x14ac:dyDescent="0.25">
      <c r="A27" s="458"/>
      <c r="B27" s="107"/>
      <c r="C27" s="107"/>
      <c r="D27" s="109"/>
      <c r="E27" s="109"/>
      <c r="F27" s="109">
        <f t="shared" si="0"/>
        <v>0</v>
      </c>
      <c r="G27" s="109"/>
      <c r="H27" s="109"/>
      <c r="I27" s="125"/>
    </row>
    <row r="28" spans="1:9" ht="15.75" hidden="1" customHeight="1" x14ac:dyDescent="0.25">
      <c r="A28" s="306"/>
      <c r="B28" s="307"/>
      <c r="C28" s="307"/>
      <c r="D28" s="109"/>
      <c r="E28" s="109"/>
      <c r="F28" s="109">
        <f t="shared" si="0"/>
        <v>0</v>
      </c>
      <c r="G28" s="109"/>
      <c r="H28" s="109"/>
      <c r="I28" s="125"/>
    </row>
    <row r="29" spans="1:9" ht="15.75" customHeight="1" x14ac:dyDescent="0.25">
      <c r="A29" s="169"/>
      <c r="B29" s="170"/>
      <c r="C29" s="170"/>
      <c r="D29" s="146"/>
      <c r="E29" s="146"/>
      <c r="F29" s="146"/>
      <c r="G29" s="146"/>
      <c r="H29" s="146"/>
      <c r="I29" s="148"/>
    </row>
    <row r="30" spans="1:9" ht="16.5" customHeight="1" thickBot="1" x14ac:dyDescent="0.3">
      <c r="A30" s="408"/>
      <c r="B30" s="460"/>
      <c r="C30" s="460"/>
      <c r="D30" s="151"/>
      <c r="E30" s="151"/>
      <c r="F30" s="151"/>
      <c r="G30" s="151"/>
      <c r="H30" s="151"/>
      <c r="I30" s="153"/>
    </row>
    <row r="31" spans="1:9" ht="16.5" customHeight="1" thickBot="1" x14ac:dyDescent="0.3">
      <c r="A31" s="683" t="s">
        <v>344</v>
      </c>
      <c r="B31" s="684">
        <f t="shared" ref="B31:I31" si="1">SUM(B6:B30)</f>
        <v>252000</v>
      </c>
      <c r="C31" s="684">
        <f t="shared" si="1"/>
        <v>298176</v>
      </c>
      <c r="D31" s="684">
        <f t="shared" si="1"/>
        <v>288616</v>
      </c>
      <c r="E31" s="684">
        <f t="shared" si="1"/>
        <v>355022</v>
      </c>
      <c r="F31" s="685">
        <f t="shared" si="1"/>
        <v>395000</v>
      </c>
      <c r="G31" s="684">
        <f t="shared" si="1"/>
        <v>390246</v>
      </c>
      <c r="H31" s="684">
        <f t="shared" si="1"/>
        <v>0</v>
      </c>
      <c r="I31" s="678">
        <f t="shared" si="1"/>
        <v>4754</v>
      </c>
    </row>
    <row r="34" spans="5:5" ht="15" customHeight="1" x14ac:dyDescent="0.25">
      <c r="E34" s="94"/>
    </row>
  </sheetData>
  <mergeCells count="5">
    <mergeCell ref="A1:I1"/>
    <mergeCell ref="A2:I2"/>
    <mergeCell ref="A3:I3"/>
    <mergeCell ref="A4:A5"/>
    <mergeCell ref="F4:I4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ySplit="5" topLeftCell="A6" activePane="bottomLeft" state="frozen"/>
      <selection activeCell="F34" sqref="F34"/>
      <selection pane="bottomLeft" activeCell="F11" sqref="F11"/>
    </sheetView>
  </sheetViews>
  <sheetFormatPr baseColWidth="10" defaultColWidth="11.42578125" defaultRowHeight="15" customHeight="1" x14ac:dyDescent="0.25"/>
  <cols>
    <col min="1" max="1" width="35.7109375" customWidth="1"/>
    <col min="2" max="2" width="13.140625" hidden="1" customWidth="1"/>
    <col min="3" max="3" width="12.7109375" hidden="1" customWidth="1"/>
    <col min="4" max="4" width="14" hidden="1" customWidth="1"/>
    <col min="5" max="5" width="9.7109375" hidden="1" customWidth="1"/>
    <col min="6" max="6" width="13.42578125" bestFit="1" customWidth="1"/>
    <col min="7" max="7" width="12.7109375" bestFit="1" customWidth="1"/>
  </cols>
  <sheetData>
    <row r="1" spans="1:9" ht="15" customHeight="1" x14ac:dyDescent="0.25">
      <c r="A1" s="796" t="s">
        <v>291</v>
      </c>
      <c r="B1" s="797"/>
      <c r="C1" s="797"/>
      <c r="D1" s="797"/>
      <c r="E1" s="797"/>
      <c r="F1" s="797"/>
      <c r="G1" s="797"/>
      <c r="H1" s="797"/>
      <c r="I1" s="798"/>
    </row>
    <row r="2" spans="1:9" ht="19.5" customHeight="1" x14ac:dyDescent="0.25">
      <c r="A2" s="817" t="s">
        <v>10</v>
      </c>
      <c r="B2" s="827"/>
      <c r="C2" s="827"/>
      <c r="D2" s="827"/>
      <c r="E2" s="827"/>
      <c r="F2" s="827"/>
      <c r="G2" s="827"/>
      <c r="H2" s="827"/>
      <c r="I2" s="828"/>
    </row>
    <row r="3" spans="1:9" ht="19.5" customHeight="1" thickBot="1" x14ac:dyDescent="0.3">
      <c r="A3" s="820" t="s">
        <v>0</v>
      </c>
      <c r="B3" s="829"/>
      <c r="C3" s="829"/>
      <c r="D3" s="829"/>
      <c r="E3" s="829"/>
      <c r="F3" s="829"/>
      <c r="G3" s="829"/>
      <c r="H3" s="829"/>
      <c r="I3" s="830"/>
    </row>
    <row r="4" spans="1:9" ht="19.5" customHeight="1" thickBot="1" x14ac:dyDescent="0.3">
      <c r="A4" s="823" t="s">
        <v>1</v>
      </c>
      <c r="B4" s="667"/>
      <c r="C4" s="667"/>
      <c r="D4" s="667"/>
      <c r="E4" s="667"/>
      <c r="F4" s="824" t="s">
        <v>343</v>
      </c>
      <c r="G4" s="825"/>
      <c r="H4" s="825"/>
      <c r="I4" s="826"/>
    </row>
    <row r="5" spans="1:9" ht="16.5" customHeight="1" thickBot="1" x14ac:dyDescent="0.3">
      <c r="A5" s="790"/>
      <c r="B5" s="659" t="s">
        <v>3</v>
      </c>
      <c r="C5" s="659" t="s">
        <v>4</v>
      </c>
      <c r="D5" s="659" t="s">
        <v>3</v>
      </c>
      <c r="E5" s="659" t="s">
        <v>4</v>
      </c>
      <c r="F5" s="660" t="s">
        <v>5</v>
      </c>
      <c r="G5" s="660" t="s">
        <v>6</v>
      </c>
      <c r="H5" s="660" t="s">
        <v>7</v>
      </c>
      <c r="I5" s="660" t="s">
        <v>8</v>
      </c>
    </row>
    <row r="6" spans="1:9" ht="15.75" customHeight="1" x14ac:dyDescent="0.25">
      <c r="A6" s="73"/>
      <c r="B6" s="96"/>
      <c r="C6" s="96"/>
      <c r="D6" s="97"/>
      <c r="E6" s="97"/>
      <c r="F6" s="97"/>
      <c r="G6" s="97"/>
      <c r="H6" s="97"/>
      <c r="I6" s="159"/>
    </row>
    <row r="7" spans="1:9" ht="15.75" customHeight="1" x14ac:dyDescent="0.25">
      <c r="A7" s="75" t="s">
        <v>101</v>
      </c>
      <c r="B7" s="76">
        <v>302500</v>
      </c>
      <c r="C7" s="76">
        <f>74091+74599+74981+90556</f>
        <v>314227</v>
      </c>
      <c r="D7" s="77">
        <v>324400</v>
      </c>
      <c r="E7" s="77">
        <v>324400</v>
      </c>
      <c r="F7" s="77">
        <f>SUM(G7:I7)</f>
        <v>451559</v>
      </c>
      <c r="G7" s="77">
        <f>374059+77500</f>
        <v>451559</v>
      </c>
      <c r="H7" s="77">
        <f>SUM(H8:H11)</f>
        <v>0</v>
      </c>
      <c r="I7" s="78">
        <f>SUM(I8:I11)</f>
        <v>0</v>
      </c>
    </row>
    <row r="8" spans="1:9" ht="15.75" customHeight="1" x14ac:dyDescent="0.25">
      <c r="A8" s="98"/>
      <c r="B8" s="99"/>
      <c r="C8" s="99"/>
      <c r="D8" s="100"/>
      <c r="E8" s="100"/>
      <c r="F8" s="101"/>
      <c r="G8" s="101"/>
      <c r="H8" s="101"/>
      <c r="I8" s="488"/>
    </row>
    <row r="9" spans="1:9" ht="15.75" customHeight="1" x14ac:dyDescent="0.25">
      <c r="A9" s="83" t="s">
        <v>102</v>
      </c>
      <c r="B9" s="84">
        <v>10000</v>
      </c>
      <c r="C9" s="84">
        <f>2525+2035+1942+3498</f>
        <v>10000</v>
      </c>
      <c r="D9" s="81">
        <v>10252</v>
      </c>
      <c r="E9" s="81">
        <v>10252</v>
      </c>
      <c r="F9" s="85">
        <f>SUM(G9:I9)</f>
        <v>12252</v>
      </c>
      <c r="G9" s="85">
        <v>12252</v>
      </c>
      <c r="H9" s="85">
        <v>0</v>
      </c>
      <c r="I9" s="372">
        <v>0</v>
      </c>
    </row>
    <row r="10" spans="1:9" ht="15.75" customHeight="1" x14ac:dyDescent="0.25">
      <c r="A10" s="83"/>
      <c r="B10" s="84"/>
      <c r="C10" s="84"/>
      <c r="D10" s="81"/>
      <c r="E10" s="81"/>
      <c r="F10" s="85"/>
      <c r="G10" s="85"/>
      <c r="H10" s="85"/>
      <c r="I10" s="372"/>
    </row>
    <row r="11" spans="1:9" ht="15.75" customHeight="1" x14ac:dyDescent="0.25">
      <c r="A11" s="79" t="s">
        <v>103</v>
      </c>
      <c r="B11" s="80">
        <v>13500</v>
      </c>
      <c r="C11" s="80">
        <f>3009+2797+3130+4915</f>
        <v>13851</v>
      </c>
      <c r="D11" s="81">
        <v>13686</v>
      </c>
      <c r="E11" s="81">
        <v>13686</v>
      </c>
      <c r="F11" s="81">
        <f>SUM(G11:I11)</f>
        <v>14686</v>
      </c>
      <c r="G11" s="81">
        <v>14686</v>
      </c>
      <c r="H11" s="81">
        <v>0</v>
      </c>
      <c r="I11" s="82">
        <v>0</v>
      </c>
    </row>
    <row r="12" spans="1:9" ht="15.75" customHeight="1" x14ac:dyDescent="0.25">
      <c r="A12" s="86"/>
      <c r="B12" s="87"/>
      <c r="C12" s="87"/>
      <c r="D12" s="90"/>
      <c r="E12" s="90"/>
      <c r="F12" s="90"/>
      <c r="G12" s="90"/>
      <c r="H12" s="90"/>
      <c r="I12" s="91"/>
    </row>
    <row r="13" spans="1:9" ht="15.75" customHeight="1" x14ac:dyDescent="0.25">
      <c r="A13" s="79" t="s">
        <v>104</v>
      </c>
      <c r="B13" s="80">
        <v>24500</v>
      </c>
      <c r="C13" s="80">
        <f>21500+401+732+603+1264</f>
        <v>24500</v>
      </c>
      <c r="D13" s="81">
        <v>40000</v>
      </c>
      <c r="E13" s="81">
        <v>40000</v>
      </c>
      <c r="F13" s="81">
        <f>SUM(G13:I13)</f>
        <v>65476</v>
      </c>
      <c r="G13" s="81">
        <v>65476</v>
      </c>
      <c r="H13" s="81">
        <v>0</v>
      </c>
      <c r="I13" s="82">
        <v>0</v>
      </c>
    </row>
    <row r="14" spans="1:9" ht="15.75" customHeight="1" x14ac:dyDescent="0.25">
      <c r="A14" s="86"/>
      <c r="B14" s="87"/>
      <c r="C14" s="87"/>
      <c r="D14" s="90"/>
      <c r="E14" s="90"/>
      <c r="F14" s="90"/>
      <c r="G14" s="90"/>
      <c r="H14" s="90"/>
      <c r="I14" s="91"/>
    </row>
    <row r="15" spans="1:9" ht="31.5" customHeight="1" x14ac:dyDescent="0.25">
      <c r="A15" s="102" t="s">
        <v>105</v>
      </c>
      <c r="B15" s="103">
        <v>10092</v>
      </c>
      <c r="C15" s="103">
        <f>3717+1948+1830+2597</f>
        <v>10092</v>
      </c>
      <c r="D15" s="81">
        <v>14892</v>
      </c>
      <c r="E15" s="81">
        <v>14892</v>
      </c>
      <c r="F15" s="81">
        <f>SUM(G15:I15)</f>
        <v>17892</v>
      </c>
      <c r="G15" s="81">
        <v>17892</v>
      </c>
      <c r="H15" s="81">
        <v>0</v>
      </c>
      <c r="I15" s="82">
        <v>0</v>
      </c>
    </row>
    <row r="16" spans="1:9" ht="15.75" customHeight="1" x14ac:dyDescent="0.25">
      <c r="A16" s="104"/>
      <c r="B16" s="105"/>
      <c r="C16" s="105"/>
      <c r="D16" s="81"/>
      <c r="E16" s="81"/>
      <c r="F16" s="81"/>
      <c r="G16" s="81"/>
      <c r="H16" s="81"/>
      <c r="I16" s="82"/>
    </row>
    <row r="17" spans="1:9" ht="15.75" customHeight="1" x14ac:dyDescent="0.25">
      <c r="A17" s="104" t="s">
        <v>321</v>
      </c>
      <c r="B17" s="105"/>
      <c r="C17" s="105"/>
      <c r="D17" s="81"/>
      <c r="E17" s="81"/>
      <c r="F17" s="81">
        <v>1000</v>
      </c>
      <c r="G17" s="81">
        <v>1000</v>
      </c>
      <c r="H17" s="81"/>
      <c r="I17" s="82"/>
    </row>
    <row r="18" spans="1:9" ht="15.75" customHeight="1" x14ac:dyDescent="0.25">
      <c r="A18" s="593" t="s">
        <v>322</v>
      </c>
      <c r="B18" s="84"/>
      <c r="C18" s="84"/>
      <c r="D18" s="81"/>
      <c r="E18" s="81"/>
      <c r="F18" s="81"/>
      <c r="G18" s="81"/>
      <c r="H18" s="81"/>
      <c r="I18" s="82"/>
    </row>
    <row r="19" spans="1:9" ht="15.75" customHeight="1" x14ac:dyDescent="0.25">
      <c r="A19" s="79"/>
      <c r="B19" s="84"/>
      <c r="C19" s="84"/>
      <c r="D19" s="81"/>
      <c r="E19" s="81"/>
      <c r="F19" s="81"/>
      <c r="G19" s="81"/>
      <c r="H19" s="81"/>
      <c r="I19" s="82"/>
    </row>
    <row r="20" spans="1:9" ht="15.75" customHeight="1" x14ac:dyDescent="0.25">
      <c r="A20" s="79" t="s">
        <v>320</v>
      </c>
      <c r="B20" s="84"/>
      <c r="C20" s="84"/>
      <c r="D20" s="81"/>
      <c r="E20" s="81"/>
      <c r="F20" s="81">
        <f>SUM(G20:I20)</f>
        <v>1500</v>
      </c>
      <c r="G20" s="81">
        <v>1500</v>
      </c>
      <c r="H20" s="81"/>
      <c r="I20" s="82"/>
    </row>
    <row r="21" spans="1:9" ht="15.75" customHeight="1" x14ac:dyDescent="0.25">
      <c r="A21" s="79"/>
      <c r="B21" s="84"/>
      <c r="C21" s="84"/>
      <c r="D21" s="81"/>
      <c r="E21" s="81"/>
      <c r="F21" s="81"/>
      <c r="G21" s="81"/>
      <c r="H21" s="81"/>
      <c r="I21" s="82"/>
    </row>
    <row r="22" spans="1:9" ht="15.75" customHeight="1" x14ac:dyDescent="0.25">
      <c r="A22" s="79" t="s">
        <v>568</v>
      </c>
      <c r="B22" s="84"/>
      <c r="C22" s="84"/>
      <c r="D22" s="81"/>
      <c r="E22" s="81"/>
      <c r="F22" s="81">
        <f>SUM(G22:I22)</f>
        <v>2833</v>
      </c>
      <c r="G22" s="81">
        <v>2833</v>
      </c>
      <c r="H22" s="81"/>
      <c r="I22" s="82"/>
    </row>
    <row r="23" spans="1:9" ht="16.5" customHeight="1" thickBot="1" x14ac:dyDescent="0.3">
      <c r="A23" s="110"/>
      <c r="B23" s="111"/>
      <c r="C23" s="111"/>
      <c r="D23" s="112"/>
      <c r="E23" s="113"/>
      <c r="F23" s="112"/>
      <c r="G23" s="112"/>
      <c r="H23" s="112"/>
      <c r="I23" s="184"/>
    </row>
    <row r="24" spans="1:9" ht="16.5" customHeight="1" thickBot="1" x14ac:dyDescent="0.3">
      <c r="A24" s="679" t="s">
        <v>344</v>
      </c>
      <c r="B24" s="680">
        <f t="shared" ref="B24:I24" si="0">SUM(B6:B23)</f>
        <v>360592</v>
      </c>
      <c r="C24" s="680">
        <f t="shared" si="0"/>
        <v>372670</v>
      </c>
      <c r="D24" s="680">
        <f t="shared" si="0"/>
        <v>403230</v>
      </c>
      <c r="E24" s="680">
        <f t="shared" si="0"/>
        <v>403230</v>
      </c>
      <c r="F24" s="680">
        <f t="shared" si="0"/>
        <v>567198</v>
      </c>
      <c r="G24" s="680">
        <f t="shared" si="0"/>
        <v>567198</v>
      </c>
      <c r="H24" s="680">
        <f t="shared" si="0"/>
        <v>0</v>
      </c>
      <c r="I24" s="681">
        <f t="shared" si="0"/>
        <v>0</v>
      </c>
    </row>
    <row r="25" spans="1:9" ht="15" customHeight="1" x14ac:dyDescent="0.25">
      <c r="A25" s="545"/>
      <c r="B25" s="545"/>
      <c r="C25" s="545"/>
      <c r="D25" s="545"/>
      <c r="E25" s="545"/>
      <c r="F25" s="545"/>
      <c r="G25" s="545"/>
      <c r="H25" s="545"/>
      <c r="I25" s="545"/>
    </row>
    <row r="27" spans="1:9" ht="15" customHeight="1" x14ac:dyDescent="0.25">
      <c r="F27" s="5"/>
    </row>
  </sheetData>
  <mergeCells count="5">
    <mergeCell ref="A1:I1"/>
    <mergeCell ref="A2:I2"/>
    <mergeCell ref="A3:I3"/>
    <mergeCell ref="F4:I4"/>
    <mergeCell ref="A4:A5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pane ySplit="5" topLeftCell="A6" activePane="bottomLeft" state="frozen"/>
      <selection activeCell="F34" sqref="F34"/>
      <selection pane="bottomLeft" activeCell="G25" sqref="G25"/>
    </sheetView>
  </sheetViews>
  <sheetFormatPr baseColWidth="10" defaultColWidth="11.42578125" defaultRowHeight="15" customHeight="1" x14ac:dyDescent="0.25"/>
  <cols>
    <col min="1" max="1" width="34" customWidth="1"/>
    <col min="2" max="2" width="13.140625" hidden="1" customWidth="1"/>
    <col min="3" max="3" width="12.7109375" hidden="1" customWidth="1"/>
    <col min="4" max="4" width="13.140625" hidden="1" customWidth="1"/>
    <col min="5" max="5" width="9.7109375" hidden="1" customWidth="1"/>
    <col min="6" max="6" width="13.140625" bestFit="1" customWidth="1"/>
  </cols>
  <sheetData>
    <row r="1" spans="1:13" ht="15" customHeight="1" x14ac:dyDescent="0.25">
      <c r="A1" s="796" t="s">
        <v>292</v>
      </c>
      <c r="B1" s="797"/>
      <c r="C1" s="797"/>
      <c r="D1" s="797"/>
      <c r="E1" s="797"/>
      <c r="F1" s="797"/>
      <c r="G1" s="797"/>
      <c r="H1" s="797"/>
      <c r="I1" s="798"/>
    </row>
    <row r="2" spans="1:13" ht="19.5" customHeight="1" x14ac:dyDescent="0.25">
      <c r="A2" s="817" t="s">
        <v>11</v>
      </c>
      <c r="B2" s="827"/>
      <c r="C2" s="827"/>
      <c r="D2" s="827"/>
      <c r="E2" s="827"/>
      <c r="F2" s="827"/>
      <c r="G2" s="827"/>
      <c r="H2" s="827"/>
      <c r="I2" s="828"/>
    </row>
    <row r="3" spans="1:13" ht="19.5" customHeight="1" thickBot="1" x14ac:dyDescent="0.3">
      <c r="A3" s="820" t="s">
        <v>0</v>
      </c>
      <c r="B3" s="829"/>
      <c r="C3" s="829"/>
      <c r="D3" s="829"/>
      <c r="E3" s="829"/>
      <c r="F3" s="829"/>
      <c r="G3" s="829"/>
      <c r="H3" s="829"/>
      <c r="I3" s="830"/>
    </row>
    <row r="4" spans="1:13" ht="19.5" customHeight="1" thickBot="1" x14ac:dyDescent="0.3">
      <c r="A4" s="823" t="s">
        <v>1</v>
      </c>
      <c r="B4" s="667"/>
      <c r="C4" s="667"/>
      <c r="D4" s="667"/>
      <c r="E4" s="667"/>
      <c r="F4" s="824" t="s">
        <v>343</v>
      </c>
      <c r="G4" s="825"/>
      <c r="H4" s="825"/>
      <c r="I4" s="826"/>
    </row>
    <row r="5" spans="1:13" ht="16.5" customHeight="1" thickBot="1" x14ac:dyDescent="0.3">
      <c r="A5" s="790"/>
      <c r="B5" s="659" t="s">
        <v>3</v>
      </c>
      <c r="C5" s="659" t="s">
        <v>4</v>
      </c>
      <c r="D5" s="659" t="s">
        <v>3</v>
      </c>
      <c r="E5" s="659" t="s">
        <v>4</v>
      </c>
      <c r="F5" s="660" t="s">
        <v>5</v>
      </c>
      <c r="G5" s="660" t="s">
        <v>6</v>
      </c>
      <c r="H5" s="660" t="s">
        <v>7</v>
      </c>
      <c r="I5" s="660" t="s">
        <v>8</v>
      </c>
    </row>
    <row r="6" spans="1:13" ht="15.75" customHeight="1" x14ac:dyDescent="0.25">
      <c r="A6" s="461"/>
      <c r="B6" s="462"/>
      <c r="C6" s="462"/>
      <c r="D6" s="173"/>
      <c r="E6" s="173"/>
      <c r="F6" s="463"/>
      <c r="G6" s="463"/>
      <c r="H6" s="463"/>
      <c r="I6" s="485"/>
    </row>
    <row r="7" spans="1:13" ht="31.5" customHeight="1" x14ac:dyDescent="0.25">
      <c r="A7" s="116" t="s">
        <v>106</v>
      </c>
      <c r="B7" s="464"/>
      <c r="C7" s="464"/>
      <c r="D7" s="465">
        <v>62001</v>
      </c>
      <c r="E7" s="465">
        <v>0</v>
      </c>
      <c r="F7" s="466">
        <f>SUM(G7:I7)</f>
        <v>79589</v>
      </c>
      <c r="G7" s="466">
        <v>79589</v>
      </c>
      <c r="H7" s="466"/>
      <c r="I7" s="486"/>
      <c r="M7" s="94"/>
    </row>
    <row r="8" spans="1:13" ht="15.75" customHeight="1" x14ac:dyDescent="0.25">
      <c r="A8" s="123"/>
      <c r="B8" s="129"/>
      <c r="C8" s="129"/>
      <c r="D8" s="109"/>
      <c r="E8" s="109"/>
      <c r="F8" s="166"/>
      <c r="G8" s="166"/>
      <c r="H8" s="166"/>
      <c r="I8" s="168"/>
    </row>
    <row r="9" spans="1:13" ht="15.75" customHeight="1" x14ac:dyDescent="0.25">
      <c r="A9" s="123"/>
      <c r="B9" s="129"/>
      <c r="C9" s="129"/>
      <c r="D9" s="109"/>
      <c r="E9" s="124"/>
      <c r="F9" s="166"/>
      <c r="G9" s="166"/>
      <c r="H9" s="166"/>
      <c r="I9" s="168"/>
    </row>
    <row r="10" spans="1:13" ht="30" customHeight="1" x14ac:dyDescent="0.25">
      <c r="A10" s="106" t="s">
        <v>107</v>
      </c>
      <c r="B10" s="260"/>
      <c r="C10" s="260"/>
      <c r="D10" s="467">
        <v>22000</v>
      </c>
      <c r="E10" s="468">
        <v>0</v>
      </c>
      <c r="F10" s="467">
        <f>SUM(G10:I10)</f>
        <v>22000</v>
      </c>
      <c r="G10" s="467">
        <v>22000</v>
      </c>
      <c r="H10" s="467"/>
      <c r="I10" s="487"/>
      <c r="M10" s="94"/>
    </row>
    <row r="11" spans="1:13" ht="15.75" customHeight="1" x14ac:dyDescent="0.25">
      <c r="A11" s="106"/>
      <c r="B11" s="260"/>
      <c r="C11" s="260"/>
      <c r="D11" s="109"/>
      <c r="E11" s="124"/>
      <c r="F11" s="109"/>
      <c r="G11" s="109"/>
      <c r="H11" s="109"/>
      <c r="I11" s="125"/>
    </row>
    <row r="12" spans="1:13" ht="15.75" customHeight="1" x14ac:dyDescent="0.25">
      <c r="A12" s="123"/>
      <c r="B12" s="129"/>
      <c r="C12" s="129"/>
      <c r="D12" s="108"/>
      <c r="E12" s="459"/>
      <c r="F12" s="108"/>
      <c r="G12" s="108"/>
      <c r="H12" s="108"/>
      <c r="I12" s="229"/>
    </row>
    <row r="13" spans="1:13" ht="15.75" customHeight="1" x14ac:dyDescent="0.25">
      <c r="A13" s="469" t="s">
        <v>108</v>
      </c>
      <c r="B13" s="470"/>
      <c r="C13" s="470"/>
      <c r="D13" s="471">
        <v>3100</v>
      </c>
      <c r="E13" s="472">
        <v>0</v>
      </c>
      <c r="F13" s="109">
        <f>SUM(G13:I13)</f>
        <v>3524</v>
      </c>
      <c r="G13" s="109">
        <v>3524</v>
      </c>
      <c r="H13" s="109"/>
      <c r="I13" s="125"/>
    </row>
    <row r="14" spans="1:13" ht="15.75" customHeight="1" x14ac:dyDescent="0.25">
      <c r="A14" s="469"/>
      <c r="B14" s="470"/>
      <c r="C14" s="470"/>
      <c r="D14" s="471"/>
      <c r="E14" s="472"/>
      <c r="F14" s="109"/>
      <c r="G14" s="109"/>
      <c r="H14" s="109"/>
      <c r="I14" s="125"/>
    </row>
    <row r="15" spans="1:13" ht="15.75" customHeight="1" x14ac:dyDescent="0.25">
      <c r="A15" s="469"/>
      <c r="B15" s="470"/>
      <c r="C15" s="470"/>
      <c r="D15" s="471"/>
      <c r="E15" s="472"/>
      <c r="F15" s="109"/>
      <c r="G15" s="109"/>
      <c r="H15" s="109"/>
      <c r="I15" s="125"/>
    </row>
    <row r="16" spans="1:13" ht="15.75" customHeight="1" x14ac:dyDescent="0.25">
      <c r="A16" s="469"/>
      <c r="B16" s="470"/>
      <c r="C16" s="470"/>
      <c r="D16" s="471"/>
      <c r="E16" s="472"/>
      <c r="F16" s="109"/>
      <c r="G16" s="109"/>
      <c r="H16" s="109"/>
      <c r="I16" s="125"/>
    </row>
    <row r="17" spans="1:9" ht="15.75" customHeight="1" x14ac:dyDescent="0.25">
      <c r="A17" s="469"/>
      <c r="B17" s="470"/>
      <c r="C17" s="470"/>
      <c r="D17" s="471"/>
      <c r="E17" s="472"/>
      <c r="F17" s="109"/>
      <c r="G17" s="109"/>
      <c r="H17" s="109"/>
      <c r="I17" s="125"/>
    </row>
    <row r="18" spans="1:9" ht="15.75" customHeight="1" x14ac:dyDescent="0.25">
      <c r="A18" s="10"/>
      <c r="B18" s="473"/>
      <c r="C18" s="473"/>
      <c r="D18" s="471"/>
      <c r="E18" s="472"/>
      <c r="F18" s="109"/>
      <c r="G18" s="109"/>
      <c r="H18" s="109"/>
      <c r="I18" s="125"/>
    </row>
    <row r="19" spans="1:9" ht="15.75" customHeight="1" x14ac:dyDescent="0.25">
      <c r="A19" s="469"/>
      <c r="B19" s="470"/>
      <c r="C19" s="470"/>
      <c r="D19" s="471"/>
      <c r="E19" s="472"/>
      <c r="F19" s="109"/>
      <c r="G19" s="109"/>
      <c r="H19" s="109"/>
      <c r="I19" s="125"/>
    </row>
    <row r="20" spans="1:9" ht="15.75" customHeight="1" x14ac:dyDescent="0.25">
      <c r="A20" s="474"/>
      <c r="B20" s="475"/>
      <c r="C20" s="475"/>
      <c r="D20" s="471"/>
      <c r="E20" s="472"/>
      <c r="F20" s="109"/>
      <c r="G20" s="109"/>
      <c r="H20" s="109"/>
      <c r="I20" s="125"/>
    </row>
    <row r="21" spans="1:9" ht="15.75" customHeight="1" x14ac:dyDescent="0.25">
      <c r="A21" s="474"/>
      <c r="B21" s="475"/>
      <c r="C21" s="475"/>
      <c r="D21" s="471"/>
      <c r="E21" s="472"/>
      <c r="F21" s="109"/>
      <c r="G21" s="109"/>
      <c r="H21" s="109"/>
      <c r="I21" s="125"/>
    </row>
    <row r="22" spans="1:9" ht="15.75" customHeight="1" x14ac:dyDescent="0.25">
      <c r="A22" s="476"/>
      <c r="B22" s="471"/>
      <c r="C22" s="471"/>
      <c r="D22" s="471"/>
      <c r="E22" s="472"/>
      <c r="F22" s="109"/>
      <c r="G22" s="109"/>
      <c r="H22" s="109"/>
      <c r="I22" s="125"/>
    </row>
    <row r="23" spans="1:9" ht="15.75" customHeight="1" x14ac:dyDescent="0.25">
      <c r="A23" s="477"/>
      <c r="B23" s="478"/>
      <c r="C23" s="478"/>
      <c r="D23" s="479"/>
      <c r="E23" s="480"/>
      <c r="F23" s="108"/>
      <c r="G23" s="108"/>
      <c r="H23" s="108"/>
      <c r="I23" s="229"/>
    </row>
    <row r="24" spans="1:9" ht="16.5" customHeight="1" thickBot="1" x14ac:dyDescent="0.3">
      <c r="A24" s="481"/>
      <c r="B24" s="482"/>
      <c r="C24" s="482"/>
      <c r="D24" s="483"/>
      <c r="E24" s="484"/>
      <c r="F24" s="132"/>
      <c r="G24" s="132"/>
      <c r="H24" s="132"/>
      <c r="I24" s="135"/>
    </row>
    <row r="25" spans="1:9" ht="16.5" customHeight="1" thickBot="1" x14ac:dyDescent="0.3">
      <c r="A25" s="682" t="s">
        <v>344</v>
      </c>
      <c r="B25" s="672">
        <v>75414</v>
      </c>
      <c r="C25" s="672">
        <f>19140+20433+17933+21518</f>
        <v>79024</v>
      </c>
      <c r="D25" s="677">
        <f>SUM(D6:D24)</f>
        <v>87101</v>
      </c>
      <c r="E25" s="677">
        <v>90273</v>
      </c>
      <c r="F25" s="677">
        <f>SUM(F6:F24)</f>
        <v>105113</v>
      </c>
      <c r="G25" s="677">
        <f>SUM(G6:G24)</f>
        <v>105113</v>
      </c>
      <c r="H25" s="677">
        <f>SUM(H6:H24)</f>
        <v>0</v>
      </c>
      <c r="I25" s="678">
        <f>SUM(I6:I24)</f>
        <v>0</v>
      </c>
    </row>
  </sheetData>
  <mergeCells count="5">
    <mergeCell ref="A1:I1"/>
    <mergeCell ref="A2:I2"/>
    <mergeCell ref="A3:I3"/>
    <mergeCell ref="A4:A5"/>
    <mergeCell ref="F4:I4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pane ySplit="5" topLeftCell="A6" activePane="bottomLeft" state="frozen"/>
      <selection activeCell="F34" sqref="F34"/>
      <selection pane="bottomLeft" activeCell="F34" sqref="F34"/>
    </sheetView>
  </sheetViews>
  <sheetFormatPr baseColWidth="10" defaultColWidth="11.42578125" defaultRowHeight="15" customHeight="1" x14ac:dyDescent="0.25"/>
  <cols>
    <col min="1" max="1" width="34" customWidth="1"/>
    <col min="2" max="2" width="13.140625" bestFit="1" customWidth="1"/>
  </cols>
  <sheetData>
    <row r="1" spans="1:5" ht="15" customHeight="1" x14ac:dyDescent="0.25">
      <c r="A1" s="796" t="s">
        <v>293</v>
      </c>
      <c r="B1" s="797"/>
      <c r="C1" s="797"/>
      <c r="D1" s="797"/>
      <c r="E1" s="798"/>
    </row>
    <row r="2" spans="1:5" ht="19.5" customHeight="1" x14ac:dyDescent="0.3">
      <c r="A2" s="831" t="s">
        <v>13</v>
      </c>
      <c r="B2" s="832"/>
      <c r="C2" s="832"/>
      <c r="D2" s="832"/>
      <c r="E2" s="833"/>
    </row>
    <row r="3" spans="1:5" ht="19.5" customHeight="1" thickBot="1" x14ac:dyDescent="0.3">
      <c r="A3" s="836" t="s">
        <v>0</v>
      </c>
      <c r="B3" s="837"/>
      <c r="C3" s="837"/>
      <c r="D3" s="837"/>
      <c r="E3" s="838"/>
    </row>
    <row r="4" spans="1:5" ht="16.5" customHeight="1" thickBot="1" x14ac:dyDescent="0.3">
      <c r="A4" s="834" t="s">
        <v>1</v>
      </c>
      <c r="B4" s="824" t="s">
        <v>343</v>
      </c>
      <c r="C4" s="825"/>
      <c r="D4" s="825"/>
      <c r="E4" s="826"/>
    </row>
    <row r="5" spans="1:5" ht="16.5" customHeight="1" thickBot="1" x14ac:dyDescent="0.3">
      <c r="A5" s="835"/>
      <c r="B5" s="660" t="s">
        <v>5</v>
      </c>
      <c r="C5" s="660" t="s">
        <v>6</v>
      </c>
      <c r="D5" s="660" t="s">
        <v>7</v>
      </c>
      <c r="E5" s="660" t="s">
        <v>8</v>
      </c>
    </row>
    <row r="6" spans="1:5" ht="15.75" customHeight="1" x14ac:dyDescent="0.25">
      <c r="A6" s="73"/>
      <c r="B6" s="97"/>
      <c r="C6" s="97"/>
      <c r="D6" s="97"/>
      <c r="E6" s="159"/>
    </row>
    <row r="7" spans="1:5" ht="47.25" customHeight="1" x14ac:dyDescent="0.25">
      <c r="A7" s="116" t="s">
        <v>109</v>
      </c>
      <c r="B7" s="77">
        <f>SUM(C7:E7)</f>
        <v>10700</v>
      </c>
      <c r="C7" s="77">
        <v>10700</v>
      </c>
      <c r="D7" s="77">
        <f>SUM(D8:D10)</f>
        <v>0</v>
      </c>
      <c r="E7" s="78">
        <f>SUM(E8:E10)</f>
        <v>0</v>
      </c>
    </row>
    <row r="8" spans="1:5" ht="15.75" customHeight="1" x14ac:dyDescent="0.25">
      <c r="A8" s="83"/>
      <c r="B8" s="85"/>
      <c r="C8" s="85"/>
      <c r="D8" s="85"/>
      <c r="E8" s="372"/>
    </row>
    <row r="9" spans="1:5" ht="15.75" customHeight="1" x14ac:dyDescent="0.25">
      <c r="A9" s="83"/>
      <c r="B9" s="85"/>
      <c r="C9" s="85"/>
      <c r="D9" s="85"/>
      <c r="E9" s="372"/>
    </row>
    <row r="10" spans="1:5" ht="15.75" customHeight="1" x14ac:dyDescent="0.25">
      <c r="A10" s="83"/>
      <c r="B10" s="85"/>
      <c r="C10" s="85"/>
      <c r="D10" s="85"/>
      <c r="E10" s="372"/>
    </row>
    <row r="11" spans="1:5" ht="31.5" customHeight="1" x14ac:dyDescent="0.25">
      <c r="A11" s="102" t="s">
        <v>110</v>
      </c>
      <c r="B11" s="81">
        <f>SUM(C11:E11)</f>
        <v>16250</v>
      </c>
      <c r="C11" s="81">
        <v>16250</v>
      </c>
      <c r="D11" s="81"/>
      <c r="E11" s="82"/>
    </row>
    <row r="12" spans="1:5" ht="15.75" customHeight="1" x14ac:dyDescent="0.25">
      <c r="A12" s="79" t="s">
        <v>561</v>
      </c>
      <c r="B12" s="81">
        <f>SUM(C12:E12)</f>
        <v>1800</v>
      </c>
      <c r="C12" s="81">
        <v>1800</v>
      </c>
      <c r="D12" s="90"/>
      <c r="E12" s="91"/>
    </row>
    <row r="13" spans="1:5" ht="15.75" customHeight="1" x14ac:dyDescent="0.25">
      <c r="A13" s="79"/>
      <c r="B13" s="81"/>
      <c r="C13" s="81"/>
      <c r="D13" s="81"/>
      <c r="E13" s="82"/>
    </row>
    <row r="14" spans="1:5" ht="15.75" hidden="1" customHeight="1" x14ac:dyDescent="0.25">
      <c r="A14" s="86"/>
      <c r="B14" s="90"/>
      <c r="C14" s="90"/>
      <c r="D14" s="90"/>
      <c r="E14" s="91"/>
    </row>
    <row r="15" spans="1:5" ht="15.75" hidden="1" customHeight="1" x14ac:dyDescent="0.25">
      <c r="A15" s="79"/>
      <c r="B15" s="81"/>
      <c r="C15" s="81"/>
      <c r="D15" s="81"/>
      <c r="E15" s="82"/>
    </row>
    <row r="16" spans="1:5" ht="15.75" hidden="1" customHeight="1" x14ac:dyDescent="0.25">
      <c r="A16" s="86"/>
      <c r="B16" s="90"/>
      <c r="C16" s="90"/>
      <c r="D16" s="90"/>
      <c r="E16" s="91"/>
    </row>
    <row r="17" spans="1:5" ht="15.75" hidden="1" customHeight="1" x14ac:dyDescent="0.25">
      <c r="A17" s="104"/>
      <c r="B17" s="81"/>
      <c r="C17" s="81"/>
      <c r="D17" s="81"/>
      <c r="E17" s="82"/>
    </row>
    <row r="18" spans="1:5" ht="15.75" hidden="1" customHeight="1" x14ac:dyDescent="0.25">
      <c r="A18" s="83"/>
      <c r="B18" s="81"/>
      <c r="C18" s="81"/>
      <c r="D18" s="81"/>
      <c r="E18" s="82"/>
    </row>
    <row r="19" spans="1:5" ht="15.75" hidden="1" customHeight="1" x14ac:dyDescent="0.25">
      <c r="A19" s="83"/>
      <c r="B19" s="81"/>
      <c r="C19" s="81"/>
      <c r="D19" s="81"/>
      <c r="E19" s="82"/>
    </row>
    <row r="20" spans="1:5" ht="15.75" hidden="1" customHeight="1" x14ac:dyDescent="0.25">
      <c r="A20" s="83"/>
      <c r="B20" s="81"/>
      <c r="C20" s="81"/>
      <c r="D20" s="81"/>
      <c r="E20" s="82"/>
    </row>
    <row r="21" spans="1:5" ht="15.75" hidden="1" customHeight="1" x14ac:dyDescent="0.25">
      <c r="A21" s="83"/>
      <c r="B21" s="81"/>
      <c r="C21" s="81"/>
      <c r="D21" s="81"/>
      <c r="E21" s="82"/>
    </row>
    <row r="22" spans="1:5" ht="15.75" hidden="1" customHeight="1" x14ac:dyDescent="0.25">
      <c r="A22" s="117"/>
      <c r="B22" s="81"/>
      <c r="C22" s="81"/>
      <c r="D22" s="81"/>
      <c r="E22" s="82"/>
    </row>
    <row r="23" spans="1:5" ht="15.75" hidden="1" customHeight="1" x14ac:dyDescent="0.25">
      <c r="A23" s="86"/>
      <c r="B23" s="81"/>
      <c r="C23" s="81"/>
      <c r="D23" s="81"/>
      <c r="E23" s="82"/>
    </row>
    <row r="24" spans="1:5" ht="15.75" hidden="1" customHeight="1" x14ac:dyDescent="0.25">
      <c r="A24" s="104"/>
      <c r="B24" s="81"/>
      <c r="C24" s="81"/>
      <c r="D24" s="81"/>
      <c r="E24" s="82"/>
    </row>
    <row r="25" spans="1:5" ht="15.75" hidden="1" customHeight="1" x14ac:dyDescent="0.25">
      <c r="A25" s="83"/>
      <c r="B25" s="81"/>
      <c r="C25" s="81"/>
      <c r="D25" s="81"/>
      <c r="E25" s="82"/>
    </row>
    <row r="26" spans="1:5" ht="15.75" hidden="1" customHeight="1" x14ac:dyDescent="0.25">
      <c r="A26" s="83"/>
      <c r="B26" s="81"/>
      <c r="C26" s="81"/>
      <c r="D26" s="81"/>
      <c r="E26" s="82"/>
    </row>
    <row r="27" spans="1:5" ht="15.75" hidden="1" customHeight="1" x14ac:dyDescent="0.25">
      <c r="A27" s="83"/>
      <c r="B27" s="81"/>
      <c r="C27" s="81"/>
      <c r="D27" s="81"/>
      <c r="E27" s="82"/>
    </row>
    <row r="28" spans="1:5" ht="15.75" hidden="1" customHeight="1" x14ac:dyDescent="0.25">
      <c r="A28" s="117"/>
      <c r="B28" s="81"/>
      <c r="C28" s="81"/>
      <c r="D28" s="81"/>
      <c r="E28" s="82"/>
    </row>
    <row r="29" spans="1:5" ht="15.75" hidden="1" customHeight="1" x14ac:dyDescent="0.25">
      <c r="A29" s="86"/>
      <c r="B29" s="90"/>
      <c r="C29" s="90"/>
      <c r="D29" s="90"/>
      <c r="E29" s="91"/>
    </row>
    <row r="30" spans="1:5" ht="15.75" hidden="1" customHeight="1" x14ac:dyDescent="0.25">
      <c r="A30" s="83"/>
      <c r="B30" s="81"/>
      <c r="C30" s="81"/>
      <c r="D30" s="81"/>
      <c r="E30" s="82"/>
    </row>
    <row r="31" spans="1:5" ht="15.75" hidden="1" customHeight="1" x14ac:dyDescent="0.25">
      <c r="A31" s="92"/>
      <c r="B31" s="90"/>
      <c r="C31" s="90"/>
      <c r="D31" s="90"/>
      <c r="E31" s="91"/>
    </row>
    <row r="32" spans="1:5" ht="15.75" hidden="1" customHeight="1" x14ac:dyDescent="0.25">
      <c r="A32" s="83"/>
      <c r="B32" s="81"/>
      <c r="C32" s="81"/>
      <c r="D32" s="81"/>
      <c r="E32" s="82"/>
    </row>
    <row r="33" spans="1:5" ht="15.75" hidden="1" customHeight="1" x14ac:dyDescent="0.25">
      <c r="A33" s="83"/>
      <c r="B33" s="90"/>
      <c r="C33" s="90"/>
      <c r="D33" s="90"/>
      <c r="E33" s="91"/>
    </row>
    <row r="34" spans="1:5" ht="15.75" hidden="1" customHeight="1" x14ac:dyDescent="0.25">
      <c r="A34" s="83"/>
      <c r="B34" s="90"/>
      <c r="C34" s="90"/>
      <c r="D34" s="90"/>
      <c r="E34" s="91"/>
    </row>
    <row r="35" spans="1:5" ht="15.75" hidden="1" customHeight="1" x14ac:dyDescent="0.25">
      <c r="A35" s="92"/>
      <c r="B35" s="90"/>
      <c r="C35" s="90"/>
      <c r="D35" s="90"/>
      <c r="E35" s="91"/>
    </row>
    <row r="36" spans="1:5" ht="15.75" hidden="1" customHeight="1" x14ac:dyDescent="0.25">
      <c r="A36" s="92"/>
      <c r="B36" s="90"/>
      <c r="C36" s="90"/>
      <c r="D36" s="90"/>
      <c r="E36" s="91"/>
    </row>
    <row r="37" spans="1:5" ht="15.75" hidden="1" customHeight="1" x14ac:dyDescent="0.25">
      <c r="A37" s="92"/>
      <c r="B37" s="90"/>
      <c r="C37" s="90"/>
      <c r="D37" s="90"/>
      <c r="E37" s="91"/>
    </row>
    <row r="38" spans="1:5" ht="15.75" customHeight="1" x14ac:dyDescent="0.25">
      <c r="A38" s="92"/>
      <c r="B38" s="90"/>
      <c r="C38" s="90"/>
      <c r="D38" s="90"/>
      <c r="E38" s="91"/>
    </row>
    <row r="39" spans="1:5" ht="15.75" customHeight="1" x14ac:dyDescent="0.25">
      <c r="A39" s="88"/>
      <c r="B39" s="81"/>
      <c r="C39" s="81"/>
      <c r="D39" s="81"/>
      <c r="E39" s="82"/>
    </row>
    <row r="40" spans="1:5" ht="15.75" customHeight="1" x14ac:dyDescent="0.25">
      <c r="A40" s="86"/>
      <c r="B40" s="81"/>
      <c r="C40" s="81"/>
      <c r="D40" s="81"/>
      <c r="E40" s="82"/>
    </row>
    <row r="41" spans="1:5" ht="16.5" customHeight="1" thickBot="1" x14ac:dyDescent="0.3">
      <c r="A41" s="110"/>
      <c r="B41" s="112"/>
      <c r="C41" s="112"/>
      <c r="D41" s="112"/>
      <c r="E41" s="184"/>
    </row>
    <row r="42" spans="1:5" ht="16.5" customHeight="1" thickBot="1" x14ac:dyDescent="0.3">
      <c r="A42" s="679" t="s">
        <v>5</v>
      </c>
      <c r="B42" s="680">
        <f>SUM(B6:B41)</f>
        <v>28750</v>
      </c>
      <c r="C42" s="680">
        <f>SUM(C6:C41)</f>
        <v>28750</v>
      </c>
      <c r="D42" s="680">
        <f>SUM(D6:D41)</f>
        <v>0</v>
      </c>
      <c r="E42" s="681">
        <f>SUM(E6:E41)</f>
        <v>0</v>
      </c>
    </row>
  </sheetData>
  <mergeCells count="5">
    <mergeCell ref="A2:E2"/>
    <mergeCell ref="A4:A5"/>
    <mergeCell ref="B4:E4"/>
    <mergeCell ref="A3:E3"/>
    <mergeCell ref="A1:E1"/>
  </mergeCells>
  <phoneticPr fontId="23" type="noConversion"/>
  <printOptions horizontalCentered="1"/>
  <pageMargins left="0.51181102362204722" right="0.51181102362204722" top="1.1023622047244095" bottom="0.55118110236220474" header="0.31496062992125984" footer="0.31496062992125984"/>
  <pageSetup fitToHeight="5" orientation="portrait" horizontalDpi="3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pane ySplit="6" topLeftCell="A7" activePane="bottomLeft" state="frozen"/>
      <selection activeCell="F34" sqref="F34"/>
      <selection pane="bottomLeft" activeCell="G9" sqref="G9"/>
    </sheetView>
  </sheetViews>
  <sheetFormatPr baseColWidth="10" defaultColWidth="11.42578125" defaultRowHeight="15" customHeight="1" x14ac:dyDescent="0.25"/>
  <cols>
    <col min="1" max="1" width="36.7109375" customWidth="1"/>
    <col min="2" max="2" width="13.140625" bestFit="1" customWidth="1"/>
    <col min="3" max="3" width="11.5703125" bestFit="1" customWidth="1"/>
  </cols>
  <sheetData>
    <row r="1" spans="1:5" ht="15" customHeight="1" x14ac:dyDescent="0.25">
      <c r="A1" s="796" t="s">
        <v>294</v>
      </c>
      <c r="B1" s="797"/>
      <c r="C1" s="797"/>
      <c r="D1" s="797"/>
      <c r="E1" s="798"/>
    </row>
    <row r="2" spans="1:5" ht="21.95" customHeight="1" x14ac:dyDescent="0.25">
      <c r="A2" s="839" t="s">
        <v>14</v>
      </c>
      <c r="B2" s="840"/>
      <c r="C2" s="840"/>
      <c r="D2" s="840"/>
      <c r="E2" s="841"/>
    </row>
    <row r="3" spans="1:5" ht="21.95" customHeight="1" x14ac:dyDescent="0.25">
      <c r="A3" s="842" t="s">
        <v>15</v>
      </c>
      <c r="B3" s="843"/>
      <c r="C3" s="843"/>
      <c r="D3" s="843"/>
      <c r="E3" s="844"/>
    </row>
    <row r="4" spans="1:5" ht="21.95" customHeight="1" thickBot="1" x14ac:dyDescent="0.3">
      <c r="A4" s="845" t="s">
        <v>0</v>
      </c>
      <c r="B4" s="846"/>
      <c r="C4" s="846"/>
      <c r="D4" s="846"/>
      <c r="E4" s="847"/>
    </row>
    <row r="5" spans="1:5" ht="21.95" customHeight="1" thickBot="1" x14ac:dyDescent="0.3">
      <c r="A5" s="834" t="s">
        <v>1</v>
      </c>
      <c r="B5" s="824" t="s">
        <v>343</v>
      </c>
      <c r="C5" s="825"/>
      <c r="D5" s="825"/>
      <c r="E5" s="826"/>
    </row>
    <row r="6" spans="1:5" ht="21.95" customHeight="1" thickBot="1" x14ac:dyDescent="0.3">
      <c r="A6" s="835"/>
      <c r="B6" s="661" t="s">
        <v>5</v>
      </c>
      <c r="C6" s="660" t="s">
        <v>6</v>
      </c>
      <c r="D6" s="660" t="s">
        <v>7</v>
      </c>
      <c r="E6" s="660" t="s">
        <v>8</v>
      </c>
    </row>
    <row r="7" spans="1:5" ht="21.95" customHeight="1" x14ac:dyDescent="0.25">
      <c r="A7" s="118"/>
      <c r="B7" s="120"/>
      <c r="C7" s="120"/>
      <c r="D7" s="120"/>
      <c r="E7" s="122"/>
    </row>
    <row r="8" spans="1:5" ht="21.95" customHeight="1" x14ac:dyDescent="0.25">
      <c r="A8" s="123" t="s">
        <v>111</v>
      </c>
      <c r="B8" s="109">
        <f t="shared" ref="B8:B29" si="0">SUM(C8:E8)</f>
        <v>33224</v>
      </c>
      <c r="C8" s="109">
        <f>GUBERNATURA!G6</f>
        <v>33224</v>
      </c>
      <c r="D8" s="109">
        <f>GUBERNATURA!H6</f>
        <v>0</v>
      </c>
      <c r="E8" s="125">
        <f>GUBERNATURA!I6</f>
        <v>0</v>
      </c>
    </row>
    <row r="9" spans="1:5" ht="21.95" customHeight="1" x14ac:dyDescent="0.25">
      <c r="A9" s="123" t="s">
        <v>112</v>
      </c>
      <c r="B9" s="109">
        <f t="shared" si="0"/>
        <v>59252</v>
      </c>
      <c r="C9" s="109">
        <f>'S GOB.'!G7+'S GOB.'!G8+'S GOB.'!G9</f>
        <v>59252</v>
      </c>
      <c r="D9" s="109">
        <f>'S GOB.'!H6</f>
        <v>0</v>
      </c>
      <c r="E9" s="125">
        <f>'S GOB.'!I6</f>
        <v>0</v>
      </c>
    </row>
    <row r="10" spans="1:5" ht="21.95" customHeight="1" x14ac:dyDescent="0.25">
      <c r="A10" s="123" t="s">
        <v>552</v>
      </c>
      <c r="B10" s="109">
        <f t="shared" si="0"/>
        <v>219091</v>
      </c>
      <c r="C10" s="109">
        <f>'S GOB.'!G10+'S GOB.'!G11</f>
        <v>219091</v>
      </c>
      <c r="D10" s="109"/>
      <c r="E10" s="125"/>
    </row>
    <row r="11" spans="1:5" ht="21.95" customHeight="1" x14ac:dyDescent="0.25">
      <c r="A11" s="123" t="s">
        <v>113</v>
      </c>
      <c r="B11" s="109">
        <f t="shared" si="0"/>
        <v>88673</v>
      </c>
      <c r="C11" s="109">
        <f>'S HDA.'!G6</f>
        <v>88673</v>
      </c>
      <c r="D11" s="109">
        <f>'S HDA.'!H6</f>
        <v>0</v>
      </c>
      <c r="E11" s="125">
        <f>'S HDA.'!I6</f>
        <v>0</v>
      </c>
    </row>
    <row r="12" spans="1:5" ht="21.95" customHeight="1" x14ac:dyDescent="0.25">
      <c r="A12" s="123" t="s">
        <v>114</v>
      </c>
      <c r="B12" s="109">
        <f t="shared" si="0"/>
        <v>19582</v>
      </c>
      <c r="C12" s="109">
        <f>'S ECONOM.'!G6</f>
        <v>19582</v>
      </c>
      <c r="D12" s="109">
        <f>'S ECONOM.'!H6</f>
        <v>0</v>
      </c>
      <c r="E12" s="125">
        <f>'S ECONOM.'!I6</f>
        <v>0</v>
      </c>
    </row>
    <row r="13" spans="1:5" ht="21.95" customHeight="1" x14ac:dyDescent="0.25">
      <c r="A13" s="123" t="s">
        <v>115</v>
      </c>
      <c r="B13" s="109">
        <f t="shared" si="0"/>
        <v>24592</v>
      </c>
      <c r="C13" s="109">
        <f>'S DES.AGROP.'!G6</f>
        <v>24592</v>
      </c>
      <c r="D13" s="109">
        <f>'S DES.AGROP.'!H6</f>
        <v>0</v>
      </c>
      <c r="E13" s="125">
        <f>'S DES.AGROP.'!I6</f>
        <v>0</v>
      </c>
    </row>
    <row r="14" spans="1:5" ht="21.95" customHeight="1" x14ac:dyDescent="0.25">
      <c r="A14" s="123" t="s">
        <v>116</v>
      </c>
      <c r="B14" s="109">
        <f t="shared" si="0"/>
        <v>41069</v>
      </c>
      <c r="C14" s="109">
        <f>'S OB. PUB.'!G6</f>
        <v>41069</v>
      </c>
      <c r="D14" s="109">
        <f>'S OB. PUB.'!H6</f>
        <v>0</v>
      </c>
      <c r="E14" s="125">
        <f>'S OB. PUB.'!I6</f>
        <v>0</v>
      </c>
    </row>
    <row r="15" spans="1:5" ht="21.95" customHeight="1" x14ac:dyDescent="0.25">
      <c r="A15" s="123" t="s">
        <v>117</v>
      </c>
      <c r="B15" s="109">
        <f t="shared" si="0"/>
        <v>18282</v>
      </c>
      <c r="C15" s="109">
        <f>'S EDUC.'!G6</f>
        <v>18282</v>
      </c>
      <c r="D15" s="109">
        <f>'S EDUC.'!H6</f>
        <v>0</v>
      </c>
      <c r="E15" s="125">
        <f>'S EDUC.'!I6</f>
        <v>0</v>
      </c>
    </row>
    <row r="16" spans="1:5" ht="21.95" customHeight="1" x14ac:dyDescent="0.25">
      <c r="A16" s="123" t="s">
        <v>118</v>
      </c>
      <c r="B16" s="109">
        <f t="shared" si="0"/>
        <v>20325</v>
      </c>
      <c r="C16" s="109">
        <f>'S SALUD'!G6</f>
        <v>20325</v>
      </c>
      <c r="D16" s="109">
        <f>'S SALUD'!H6</f>
        <v>0</v>
      </c>
      <c r="E16" s="125">
        <f>'S SALUD'!I6</f>
        <v>0</v>
      </c>
    </row>
    <row r="17" spans="1:5" ht="21.95" customHeight="1" x14ac:dyDescent="0.25">
      <c r="A17" s="123" t="s">
        <v>119</v>
      </c>
      <c r="B17" s="109">
        <f t="shared" si="0"/>
        <v>275162</v>
      </c>
      <c r="C17" s="109">
        <f>PGJ!G6</f>
        <v>275162</v>
      </c>
      <c r="D17" s="109">
        <f>PGJ!H6</f>
        <v>0</v>
      </c>
      <c r="E17" s="125">
        <f>PGJ!I6</f>
        <v>0</v>
      </c>
    </row>
    <row r="18" spans="1:5" ht="21.95" customHeight="1" x14ac:dyDescent="0.25">
      <c r="A18" s="123" t="s">
        <v>120</v>
      </c>
      <c r="B18" s="109">
        <f t="shared" si="0"/>
        <v>69619</v>
      </c>
      <c r="C18" s="109">
        <f>'S ADMON.'!G6</f>
        <v>69619</v>
      </c>
      <c r="D18" s="109">
        <f>'S ADMON.'!H6</f>
        <v>0</v>
      </c>
      <c r="E18" s="125">
        <f>'S ADMON.'!I6</f>
        <v>0</v>
      </c>
    </row>
    <row r="19" spans="1:5" ht="21.95" customHeight="1" x14ac:dyDescent="0.25">
      <c r="A19" s="123" t="s">
        <v>121</v>
      </c>
      <c r="B19" s="109">
        <f t="shared" si="0"/>
        <v>24000</v>
      </c>
      <c r="C19" s="109">
        <f>'S CONTRALORIA'!G6</f>
        <v>24000</v>
      </c>
      <c r="D19" s="109">
        <f>'S CONTRALORIA'!H6</f>
        <v>0</v>
      </c>
      <c r="E19" s="125">
        <f>'S CONTRALORIA'!I6</f>
        <v>0</v>
      </c>
    </row>
    <row r="20" spans="1:5" ht="21.95" customHeight="1" x14ac:dyDescent="0.25">
      <c r="A20" s="123" t="s">
        <v>122</v>
      </c>
      <c r="B20" s="109">
        <f t="shared" si="0"/>
        <v>433491</v>
      </c>
      <c r="C20" s="109">
        <f>'S SEG.PUB.'!G6</f>
        <v>433491</v>
      </c>
      <c r="D20" s="109">
        <f>'S SEG.PUB.'!H6</f>
        <v>0</v>
      </c>
      <c r="E20" s="125">
        <f>'S SEG.PUB.'!I6</f>
        <v>0</v>
      </c>
    </row>
    <row r="21" spans="1:5" ht="21.95" customHeight="1" x14ac:dyDescent="0.25">
      <c r="A21" s="123" t="s">
        <v>123</v>
      </c>
      <c r="B21" s="109">
        <f t="shared" si="0"/>
        <v>15714</v>
      </c>
      <c r="C21" s="109">
        <f>CONSEJ.JUR.!G6</f>
        <v>15714</v>
      </c>
      <c r="D21" s="109">
        <f>CONSEJ.JUR.!H6</f>
        <v>0</v>
      </c>
      <c r="E21" s="125">
        <f>CONSEJ.JUR.!I6</f>
        <v>0</v>
      </c>
    </row>
    <row r="22" spans="1:5" ht="21.95" customHeight="1" x14ac:dyDescent="0.25">
      <c r="A22" s="123" t="s">
        <v>124</v>
      </c>
      <c r="B22" s="109">
        <f t="shared" si="0"/>
        <v>17578</v>
      </c>
      <c r="C22" s="109">
        <f>'S TURISMO'!C6</f>
        <v>17578</v>
      </c>
      <c r="D22" s="109">
        <f>'S TURISMO'!D6</f>
        <v>0</v>
      </c>
      <c r="E22" s="125">
        <f>'S TURISMO'!E6</f>
        <v>0</v>
      </c>
    </row>
    <row r="23" spans="1:5" ht="21.95" customHeight="1" x14ac:dyDescent="0.25">
      <c r="A23" s="123" t="s">
        <v>125</v>
      </c>
      <c r="B23" s="109">
        <f t="shared" si="0"/>
        <v>23577</v>
      </c>
      <c r="C23" s="109">
        <f>'S DES.SOC.'!G6</f>
        <v>23577</v>
      </c>
      <c r="D23" s="109">
        <f>'S DES.SOC.'!H6</f>
        <v>0</v>
      </c>
      <c r="E23" s="125">
        <f>'S DES.SOC.'!I6</f>
        <v>0</v>
      </c>
    </row>
    <row r="24" spans="1:5" ht="21.95" customHeight="1" x14ac:dyDescent="0.25">
      <c r="A24" s="123" t="s">
        <v>126</v>
      </c>
      <c r="B24" s="109">
        <f t="shared" si="0"/>
        <v>50590</v>
      </c>
      <c r="C24" s="109">
        <f>'S TRABAJO'!G6</f>
        <v>50590</v>
      </c>
      <c r="D24" s="109">
        <f>'S TRABAJO'!H6</f>
        <v>0</v>
      </c>
      <c r="E24" s="125">
        <f>'S TRABAJO'!I6</f>
        <v>0</v>
      </c>
    </row>
    <row r="25" spans="1:5" ht="21.95" customHeight="1" x14ac:dyDescent="0.25">
      <c r="A25" s="123" t="s">
        <v>127</v>
      </c>
      <c r="B25" s="109">
        <f t="shared" si="0"/>
        <v>40000</v>
      </c>
      <c r="C25" s="109">
        <f>'S CULT'!G6</f>
        <v>40000</v>
      </c>
      <c r="D25" s="109">
        <f>'S CULT'!H6</f>
        <v>0</v>
      </c>
      <c r="E25" s="125">
        <f>'S CULT'!I6</f>
        <v>0</v>
      </c>
    </row>
    <row r="26" spans="1:5" ht="21.95" customHeight="1" x14ac:dyDescent="0.25">
      <c r="A26" s="123" t="s">
        <v>128</v>
      </c>
      <c r="B26" s="109">
        <f t="shared" si="0"/>
        <v>49662</v>
      </c>
      <c r="C26" s="109">
        <f>'S DES. SUST.'!G6</f>
        <v>49662</v>
      </c>
      <c r="D26" s="109">
        <f>'S DES. SUST.'!H6</f>
        <v>0</v>
      </c>
      <c r="E26" s="125">
        <f>'S DES. SUST.'!I6</f>
        <v>0</v>
      </c>
    </row>
    <row r="27" spans="1:5" ht="21.95" customHeight="1" x14ac:dyDescent="0.25">
      <c r="A27" s="123" t="s">
        <v>129</v>
      </c>
      <c r="B27" s="109">
        <f t="shared" si="0"/>
        <v>132340</v>
      </c>
      <c r="C27" s="109">
        <f>'S INF.COMUN.'!G6</f>
        <v>132340</v>
      </c>
      <c r="D27" s="109">
        <f>'S INF.COMUN.'!H6</f>
        <v>0</v>
      </c>
      <c r="E27" s="125">
        <f>'S INF.COMUN.'!I6</f>
        <v>0</v>
      </c>
    </row>
    <row r="28" spans="1:5" ht="21.95" customHeight="1" x14ac:dyDescent="0.25">
      <c r="A28" s="123" t="s">
        <v>130</v>
      </c>
      <c r="B28" s="109">
        <f t="shared" si="0"/>
        <v>21537</v>
      </c>
      <c r="C28" s="109">
        <f>'S INNOV.'!G6</f>
        <v>21537</v>
      </c>
      <c r="D28" s="109">
        <f>'S INNOV.'!H6</f>
        <v>0</v>
      </c>
      <c r="E28" s="125">
        <f>'S INNOV.'!I6</f>
        <v>0</v>
      </c>
    </row>
    <row r="29" spans="1:5" ht="21.95" customHeight="1" x14ac:dyDescent="0.25">
      <c r="A29" s="123" t="s">
        <v>131</v>
      </c>
      <c r="B29" s="109">
        <f t="shared" si="0"/>
        <v>38822</v>
      </c>
      <c r="C29" s="109">
        <f>'S MOV.TRANSP.'!G6</f>
        <v>38822</v>
      </c>
      <c r="D29" s="109">
        <f>'S MOV.TRANSP.'!H6</f>
        <v>0</v>
      </c>
      <c r="E29" s="125">
        <f>'S MOV.TRANSP.'!I6</f>
        <v>0</v>
      </c>
    </row>
    <row r="30" spans="1:5" ht="21.95" customHeight="1" x14ac:dyDescent="0.25">
      <c r="A30" s="435" t="s">
        <v>132</v>
      </c>
      <c r="B30" s="433">
        <f>SUM(B8:B29)</f>
        <v>1716182</v>
      </c>
      <c r="C30" s="433">
        <f>SUM(C8:C29)</f>
        <v>1716182</v>
      </c>
      <c r="D30" s="433">
        <f>SUM(D8:D29)</f>
        <v>0</v>
      </c>
      <c r="E30" s="434">
        <f>SUM(E8:E29)</f>
        <v>0</v>
      </c>
    </row>
    <row r="31" spans="1:5" ht="21.95" customHeight="1" x14ac:dyDescent="0.25">
      <c r="A31" s="123"/>
      <c r="B31" s="109"/>
      <c r="C31" s="109"/>
      <c r="D31" s="109"/>
      <c r="E31" s="125"/>
    </row>
    <row r="32" spans="1:5" ht="21.95" customHeight="1" x14ac:dyDescent="0.25">
      <c r="A32" s="123" t="s">
        <v>16</v>
      </c>
      <c r="B32" s="109">
        <f>SUM(C32:E32)</f>
        <v>15000</v>
      </c>
      <c r="C32" s="109">
        <v>15000</v>
      </c>
      <c r="D32" s="109">
        <v>0</v>
      </c>
      <c r="E32" s="125">
        <v>0</v>
      </c>
    </row>
    <row r="33" spans="1:5" ht="21.95" customHeight="1" thickBot="1" x14ac:dyDescent="0.3">
      <c r="A33" s="131"/>
      <c r="B33" s="132"/>
      <c r="C33" s="132"/>
      <c r="D33" s="132"/>
      <c r="E33" s="135"/>
    </row>
    <row r="34" spans="1:5" ht="21.95" customHeight="1" thickBot="1" x14ac:dyDescent="0.3">
      <c r="A34" s="676" t="s">
        <v>133</v>
      </c>
      <c r="B34" s="678">
        <f>SUM(B30:B33)</f>
        <v>1731182</v>
      </c>
      <c r="C34" s="678">
        <f>SUM(C30:C33)</f>
        <v>1731182</v>
      </c>
      <c r="D34" s="678">
        <f>SUM(D30:D33)</f>
        <v>0</v>
      </c>
      <c r="E34" s="678">
        <f>SUM(E30:E33)</f>
        <v>0</v>
      </c>
    </row>
    <row r="35" spans="1:5" ht="21.95" customHeight="1" x14ac:dyDescent="0.25"/>
    <row r="37" spans="1:5" ht="15" customHeight="1" x14ac:dyDescent="0.25">
      <c r="B37" s="5"/>
    </row>
  </sheetData>
  <mergeCells count="6">
    <mergeCell ref="A1:E1"/>
    <mergeCell ref="A2:E2"/>
    <mergeCell ref="A3:E3"/>
    <mergeCell ref="A5:A6"/>
    <mergeCell ref="B5:E5"/>
    <mergeCell ref="A4:E4"/>
  </mergeCells>
  <phoneticPr fontId="23" type="noConversion"/>
  <printOptions horizontalCentered="1" verticalCentered="1"/>
  <pageMargins left="0.51181102362204722" right="0.51181102362204722" top="0.51181102362204722" bottom="0.15748031496062992" header="0.31496062992125984" footer="0.31496062992125984"/>
  <pageSetup fitToHeight="5" orientation="portrait" horizontalDpi="3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35</vt:i4>
      </vt:variant>
    </vt:vector>
  </HeadingPairs>
  <TitlesOfParts>
    <vt:vector size="84" baseType="lpstr">
      <vt:lpstr>Carátula</vt:lpstr>
      <vt:lpstr>anexo1</vt:lpstr>
      <vt:lpstr>Ingresos Totales 2</vt:lpstr>
      <vt:lpstr>Ingr Propios 3</vt:lpstr>
      <vt:lpstr>anexo 2</vt:lpstr>
      <vt:lpstr>anexo 3</vt:lpstr>
      <vt:lpstr>anexo 4</vt:lpstr>
      <vt:lpstr>anexo 5</vt:lpstr>
      <vt:lpstr>anexo 6</vt:lpstr>
      <vt:lpstr>anexo 7</vt:lpstr>
      <vt:lpstr>anexo 8 </vt:lpstr>
      <vt:lpstr>anexo9</vt:lpstr>
      <vt:lpstr>anexo 10</vt:lpstr>
      <vt:lpstr>anexo 11</vt:lpstr>
      <vt:lpstr>Anexo 12</vt:lpstr>
      <vt:lpstr>Anexo 13</vt:lpstr>
      <vt:lpstr>anexo 14</vt:lpstr>
      <vt:lpstr>Anexo 15</vt:lpstr>
      <vt:lpstr>anexo 16</vt:lpstr>
      <vt:lpstr>RESGTO</vt:lpstr>
      <vt:lpstr>P E Servicios Personales</vt:lpstr>
      <vt:lpstr>P E Mat y Sum </vt:lpstr>
      <vt:lpstr>P E Serv Grales</vt:lpstr>
      <vt:lpstr>GUBERNATURA</vt:lpstr>
      <vt:lpstr>S GOB.</vt:lpstr>
      <vt:lpstr>S HDA.</vt:lpstr>
      <vt:lpstr>S ECONOM.</vt:lpstr>
      <vt:lpstr>S OB. PUB.</vt:lpstr>
      <vt:lpstr>S DES.AGROP.</vt:lpstr>
      <vt:lpstr>S EDUC.</vt:lpstr>
      <vt:lpstr>PGJ</vt:lpstr>
      <vt:lpstr>S SALUD</vt:lpstr>
      <vt:lpstr>S ADMON.</vt:lpstr>
      <vt:lpstr>S CONTRALORIA</vt:lpstr>
      <vt:lpstr>S SEG.PUB.</vt:lpstr>
      <vt:lpstr>CONSEJ.JUR.</vt:lpstr>
      <vt:lpstr>S TURISMO</vt:lpstr>
      <vt:lpstr>S DES.SOC.</vt:lpstr>
      <vt:lpstr>S TRABAJO</vt:lpstr>
      <vt:lpstr>S CULT</vt:lpstr>
      <vt:lpstr>S DES. SUST.</vt:lpstr>
      <vt:lpstr>S INF.COMUN.</vt:lpstr>
      <vt:lpstr>S INNOV.</vt:lpstr>
      <vt:lpstr>S MOV.TRANSP.</vt:lpstr>
      <vt:lpstr>Hoja1</vt:lpstr>
      <vt:lpstr>INST.REG.PUB.</vt:lpstr>
      <vt:lpstr>INVIMOR</vt:lpstr>
      <vt:lpstr>INST.INF.EDUC.</vt:lpstr>
      <vt:lpstr>SEDAM CEAMA</vt:lpstr>
      <vt:lpstr>'anexo 10'!Área_de_impresión</vt:lpstr>
      <vt:lpstr>'anexo 11'!Área_de_impresión</vt:lpstr>
      <vt:lpstr>'Anexo 15'!Área_de_impresión</vt:lpstr>
      <vt:lpstr>'anexo 16'!Área_de_impresión</vt:lpstr>
      <vt:lpstr>'anexo 2'!Área_de_impresión</vt:lpstr>
      <vt:lpstr>'anexo 3'!Área_de_impresión</vt:lpstr>
      <vt:lpstr>'anexo 4'!Área_de_impresión</vt:lpstr>
      <vt:lpstr>'anexo 6'!Área_de_impresión</vt:lpstr>
      <vt:lpstr>'anexo 7'!Área_de_impresión</vt:lpstr>
      <vt:lpstr>'anexo 8 '!Área_de_impresión</vt:lpstr>
      <vt:lpstr>anexo1!Área_de_impresión</vt:lpstr>
      <vt:lpstr>anexo9!Área_de_impresión</vt:lpstr>
      <vt:lpstr>Carátula!Área_de_impresión</vt:lpstr>
      <vt:lpstr>CONSEJ.JUR.!Área_de_impresión</vt:lpstr>
      <vt:lpstr>GUBERNATURA!Área_de_impresión</vt:lpstr>
      <vt:lpstr>'Ingresos Totales 2'!Área_de_impresión</vt:lpstr>
      <vt:lpstr>'P E Mat y Sum '!Área_de_impresión</vt:lpstr>
      <vt:lpstr>'P E Servicios Personales'!Área_de_impresión</vt:lpstr>
      <vt:lpstr>PGJ!Área_de_impresión</vt:lpstr>
      <vt:lpstr>RESGTO!Área_de_impresión</vt:lpstr>
      <vt:lpstr>'S ADMON.'!Área_de_impresión</vt:lpstr>
      <vt:lpstr>'S CULT'!Área_de_impresión</vt:lpstr>
      <vt:lpstr>'S DES. SUST.'!Área_de_impresión</vt:lpstr>
      <vt:lpstr>'S DES.SOC.'!Área_de_impresión</vt:lpstr>
      <vt:lpstr>'S ECONOM.'!Área_de_impresión</vt:lpstr>
      <vt:lpstr>'S INF.COMUN.'!Área_de_impresión</vt:lpstr>
      <vt:lpstr>'S INNOV.'!Área_de_impresión</vt:lpstr>
      <vt:lpstr>'S MOV.TRANSP.'!Área_de_impresión</vt:lpstr>
      <vt:lpstr>'S OB. PUB.'!Área_de_impresión</vt:lpstr>
      <vt:lpstr>'S SALUD'!Área_de_impresión</vt:lpstr>
      <vt:lpstr>'S TRABAJO'!Área_de_impresión</vt:lpstr>
      <vt:lpstr>'S TURISMO'!Área_de_impresión</vt:lpstr>
      <vt:lpstr>'Anexo 12'!Títulos_a_imprimir</vt:lpstr>
      <vt:lpstr>'Anexo 13'!Títulos_a_imprimir</vt:lpstr>
      <vt:lpstr>'anexo 8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2012-11-26T03:07:05Z</cp:lastPrinted>
  <dcterms:created xsi:type="dcterms:W3CDTF">2006-09-12T12:46:56Z</dcterms:created>
  <dcterms:modified xsi:type="dcterms:W3CDTF">2014-07-18T18:31:57Z</dcterms:modified>
</cp:coreProperties>
</file>